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ant\jus-felles\eksamensavd\Statistikk-samlet\2022\"/>
    </mc:Choice>
  </mc:AlternateContent>
  <bookViews>
    <workbookView xWindow="0" yWindow="0" windowWidth="28800" windowHeight="13410"/>
  </bookViews>
  <sheets>
    <sheet name="MiR" sheetId="1" r:id="rId1"/>
    <sheet name="IKRS" sheetId="2" r:id="rId2"/>
    <sheet name="HUMR" sheetId="3" r:id="rId3"/>
    <sheet name="SERI" sheetId="4"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 i="4" l="1"/>
  <c r="E10" i="4"/>
  <c r="O11" i="3"/>
  <c r="L11" i="3"/>
  <c r="I11" i="3"/>
  <c r="M11" i="3"/>
  <c r="N11" i="3"/>
  <c r="J11" i="3"/>
  <c r="K11" i="3"/>
  <c r="G11" i="3"/>
  <c r="H11" i="3"/>
  <c r="E11" i="3"/>
  <c r="D11" i="3"/>
  <c r="O23" i="2"/>
  <c r="N23" i="2"/>
  <c r="M23" i="2"/>
  <c r="L23" i="2"/>
  <c r="D23" i="2"/>
  <c r="E23" i="2"/>
  <c r="I23" i="2"/>
  <c r="G23" i="2"/>
  <c r="I48" i="1"/>
  <c r="I28" i="1"/>
  <c r="I46" i="1"/>
  <c r="D80" i="1"/>
  <c r="D73" i="1"/>
  <c r="C73" i="1"/>
  <c r="I38" i="1"/>
  <c r="H38" i="1"/>
  <c r="G38" i="1"/>
  <c r="E38" i="1"/>
  <c r="C38" i="1"/>
  <c r="D38" i="1"/>
  <c r="E28" i="1"/>
  <c r="D23" i="1"/>
  <c r="C23" i="1"/>
  <c r="I35" i="1" l="1"/>
  <c r="H23" i="2" l="1"/>
  <c r="H10" i="4" l="1"/>
  <c r="G10" i="4"/>
  <c r="I86" i="1" l="1"/>
  <c r="R80" i="1"/>
  <c r="M80" i="1"/>
  <c r="H80" i="1"/>
  <c r="S76" i="1" l="1"/>
  <c r="S75" i="1"/>
  <c r="N76" i="1"/>
  <c r="N75" i="1"/>
  <c r="I76" i="1"/>
  <c r="I75" i="1"/>
  <c r="S42" i="1"/>
  <c r="S41" i="1"/>
  <c r="N42" i="1"/>
  <c r="N41" i="1"/>
  <c r="I42" i="1"/>
  <c r="I41" i="1"/>
  <c r="S38" i="1"/>
  <c r="R38" i="1"/>
  <c r="Q38" i="1"/>
  <c r="N38" i="1"/>
  <c r="M38" i="1"/>
  <c r="L38" i="1"/>
  <c r="S68" i="1"/>
  <c r="I73" i="1"/>
  <c r="H73" i="1"/>
  <c r="G73" i="1"/>
  <c r="I72" i="1"/>
  <c r="I61" i="1"/>
  <c r="I60" i="1"/>
  <c r="I59" i="1"/>
  <c r="I55" i="1"/>
  <c r="I54" i="1"/>
  <c r="I15" i="1"/>
  <c r="I13" i="1"/>
  <c r="I34" i="1"/>
  <c r="I31" i="1"/>
  <c r="I30" i="1"/>
  <c r="I29" i="1"/>
  <c r="I23" i="1"/>
  <c r="H23" i="1"/>
  <c r="G23" i="1"/>
  <c r="I22" i="1"/>
  <c r="I21" i="1"/>
  <c r="I20" i="1"/>
  <c r="I19" i="1"/>
  <c r="I18" i="1"/>
  <c r="I16" i="1"/>
  <c r="I14" i="1"/>
  <c r="I12" i="1"/>
  <c r="I10" i="1"/>
  <c r="I9" i="1"/>
  <c r="I8" i="1"/>
  <c r="I6" i="1"/>
  <c r="I5" i="1"/>
  <c r="O21" i="2" l="1"/>
  <c r="O20" i="2"/>
  <c r="O17" i="2"/>
  <c r="O11" i="2"/>
  <c r="O10" i="2"/>
  <c r="O8" i="2"/>
  <c r="O7" i="2"/>
  <c r="O5" i="2"/>
  <c r="L22" i="2"/>
  <c r="L20" i="2"/>
  <c r="L17" i="2"/>
  <c r="L14" i="2"/>
  <c r="L11" i="2"/>
  <c r="L10" i="2"/>
  <c r="L8" i="2"/>
  <c r="L7" i="2"/>
  <c r="L6" i="2"/>
  <c r="L5" i="2"/>
  <c r="O10" i="3"/>
  <c r="O8" i="3"/>
  <c r="O7" i="3"/>
  <c r="O6" i="3"/>
  <c r="O5" i="3"/>
  <c r="L10" i="3"/>
  <c r="L8" i="3"/>
  <c r="L6" i="3"/>
  <c r="L5" i="3"/>
  <c r="O10" i="4"/>
  <c r="O9" i="4"/>
  <c r="O7" i="4"/>
  <c r="O5" i="4"/>
  <c r="L10" i="4"/>
  <c r="L9" i="4"/>
  <c r="L7" i="4"/>
  <c r="L5" i="4"/>
  <c r="S73" i="1"/>
  <c r="S71" i="1"/>
  <c r="S70" i="1"/>
  <c r="S69" i="1"/>
  <c r="S67" i="1"/>
  <c r="S66" i="1"/>
  <c r="S65" i="1"/>
  <c r="S64" i="1"/>
  <c r="S62" i="1"/>
  <c r="S61" i="1"/>
  <c r="S60" i="1"/>
  <c r="S59" i="1"/>
  <c r="S58" i="1"/>
  <c r="S57" i="1"/>
  <c r="S56" i="1"/>
  <c r="S55" i="1"/>
  <c r="S54" i="1"/>
  <c r="S53" i="1"/>
  <c r="S52" i="1"/>
  <c r="S51" i="1"/>
  <c r="S50" i="1"/>
  <c r="N73" i="1"/>
  <c r="M73" i="1"/>
  <c r="L73" i="1"/>
  <c r="N72" i="1"/>
  <c r="N71" i="1"/>
  <c r="N70" i="1"/>
  <c r="N69" i="1"/>
  <c r="N67" i="1"/>
  <c r="N66" i="1"/>
  <c r="N65" i="1"/>
  <c r="N64" i="1"/>
  <c r="N62" i="1"/>
  <c r="N61" i="1"/>
  <c r="N60" i="1"/>
  <c r="N59" i="1"/>
  <c r="N58" i="1"/>
  <c r="N57" i="1"/>
  <c r="N56" i="1"/>
  <c r="N55" i="1"/>
  <c r="N54" i="1"/>
  <c r="N53" i="1"/>
  <c r="N52" i="1"/>
  <c r="N51" i="1"/>
  <c r="N50" i="1"/>
  <c r="N49" i="1"/>
  <c r="N47" i="1"/>
  <c r="S23" i="1"/>
  <c r="N23" i="1"/>
  <c r="S86" i="1"/>
  <c r="S37" i="1"/>
  <c r="S36" i="1"/>
  <c r="S35" i="1"/>
  <c r="S34" i="1"/>
  <c r="S33" i="1"/>
  <c r="S32" i="1"/>
  <c r="S31" i="1"/>
  <c r="S30" i="1"/>
  <c r="S29" i="1"/>
  <c r="N86" i="1"/>
  <c r="N37" i="1"/>
  <c r="N36" i="1"/>
  <c r="N35" i="1"/>
  <c r="N34" i="1"/>
  <c r="N33" i="1"/>
  <c r="N32" i="1"/>
  <c r="N31" i="1"/>
  <c r="N29" i="1"/>
  <c r="S22" i="1"/>
  <c r="S21" i="1"/>
  <c r="S20" i="1"/>
  <c r="S19" i="1"/>
  <c r="S18" i="1"/>
  <c r="S16" i="1"/>
  <c r="S14" i="1"/>
  <c r="S12" i="1"/>
  <c r="S10" i="1"/>
  <c r="S9" i="1"/>
  <c r="S8" i="1"/>
  <c r="S6" i="1"/>
  <c r="S5" i="1"/>
  <c r="N22" i="1"/>
  <c r="N21" i="1"/>
  <c r="N20" i="1"/>
  <c r="N19" i="1"/>
  <c r="N18" i="1"/>
  <c r="N16" i="1"/>
  <c r="N14" i="1"/>
  <c r="N12" i="1"/>
  <c r="N10" i="1"/>
  <c r="N9" i="1"/>
  <c r="N8" i="1"/>
  <c r="N6" i="1"/>
  <c r="N5" i="1"/>
</calcChain>
</file>

<file path=xl/sharedStrings.xml><?xml version="1.0" encoding="utf-8"?>
<sst xmlns="http://schemas.openxmlformats.org/spreadsheetml/2006/main" count="345" uniqueCount="212">
  <si>
    <t xml:space="preserve">Tallene er hentet fra FS582.001 (viser antall oppmeldte ved trekkfrist og antall møtte til eksamen) og Tableau Gjentaksstudenter_JFM5-emner (viser antall og andel gjentaksstudenter av antall møtte) </t>
  </si>
  <si>
    <t>Emne</t>
  </si>
  <si>
    <t>Emnenavn</t>
  </si>
  <si>
    <t>Studieårsemner</t>
  </si>
  <si>
    <t>Oppmeldte</t>
  </si>
  <si>
    <t>Møtt</t>
  </si>
  <si>
    <t>%møtt</t>
  </si>
  <si>
    <t xml:space="preserve">%gjentak </t>
  </si>
  <si>
    <t>%gjentak</t>
  </si>
  <si>
    <t>JUS1111</t>
  </si>
  <si>
    <t>Privatrett I</t>
  </si>
  <si>
    <t>JUS1211</t>
  </si>
  <si>
    <t>Privatrett II</t>
  </si>
  <si>
    <t>JUS2111</t>
  </si>
  <si>
    <t>Statsforfatningsrett</t>
  </si>
  <si>
    <t>JUS2211</t>
  </si>
  <si>
    <t xml:space="preserve">Forvaltningsrett og </t>
  </si>
  <si>
    <t>JFEXFAC04</t>
  </si>
  <si>
    <t>Ex.fac</t>
  </si>
  <si>
    <t>JUS3111</t>
  </si>
  <si>
    <t>JUS3112</t>
  </si>
  <si>
    <t>Formuerett I (ny v21)</t>
  </si>
  <si>
    <t>JUS3212</t>
  </si>
  <si>
    <t>JUS3220</t>
  </si>
  <si>
    <t>Rettshistorie</t>
  </si>
  <si>
    <t>JUS4111</t>
  </si>
  <si>
    <t>Metode og etikk</t>
  </si>
  <si>
    <t>JUS4211</t>
  </si>
  <si>
    <t>Prosess og straffere</t>
  </si>
  <si>
    <t>JUS4121</t>
  </si>
  <si>
    <t>Rettsøkonomi 1</t>
  </si>
  <si>
    <t>JUS4122</t>
  </si>
  <si>
    <t>Rettssosiologi 1</t>
  </si>
  <si>
    <t>JUS4123</t>
  </si>
  <si>
    <t>Rettsfilosofi</t>
  </si>
  <si>
    <t>Totalt</t>
  </si>
  <si>
    <t>Valgemner ba-nivå</t>
  </si>
  <si>
    <t>JUR1285</t>
  </si>
  <si>
    <t>Markedsrett</t>
  </si>
  <si>
    <t>JUROFF1500</t>
  </si>
  <si>
    <t>Valgemner</t>
  </si>
  <si>
    <t>Engelske</t>
  </si>
  <si>
    <t>BA</t>
  </si>
  <si>
    <t xml:space="preserve">Norske </t>
  </si>
  <si>
    <t>Valgemner ma-nivå</t>
  </si>
  <si>
    <t>MA</t>
  </si>
  <si>
    <t>totalt</t>
  </si>
  <si>
    <t>JUR5030</t>
  </si>
  <si>
    <t>Masteroppgave 30 stp</t>
  </si>
  <si>
    <t>JUR5060</t>
  </si>
  <si>
    <t>Masteroppgave 60 sto</t>
  </si>
  <si>
    <t>Oppnådd grad</t>
  </si>
  <si>
    <t>Høst 2021</t>
  </si>
  <si>
    <t>Høst 2020</t>
  </si>
  <si>
    <t>Høst 2019</t>
  </si>
  <si>
    <t>JUR1280</t>
  </si>
  <si>
    <t>Int. privatrett</t>
  </si>
  <si>
    <t>JUR1310</t>
  </si>
  <si>
    <t>EU Competition law</t>
  </si>
  <si>
    <t>JUR1430</t>
  </si>
  <si>
    <t>Tilvirkningskontrakter</t>
  </si>
  <si>
    <t>JUR1511</t>
  </si>
  <si>
    <t>Arbeidsrett</t>
  </si>
  <si>
    <t>JUR1590</t>
  </si>
  <si>
    <t>Diskriminerings-og likestillingsrett</t>
  </si>
  <si>
    <t>JUR1710</t>
  </si>
  <si>
    <t>Int. Human rights law</t>
  </si>
  <si>
    <t>JUR1730</t>
  </si>
  <si>
    <t>International humanitarian law</t>
  </si>
  <si>
    <t>JUR1880</t>
  </si>
  <si>
    <t>Financial Market Law</t>
  </si>
  <si>
    <t>Strafferett</t>
  </si>
  <si>
    <t>(emnet gikk ikke)</t>
  </si>
  <si>
    <t>Forhandlinger</t>
  </si>
  <si>
    <t>JUS5134</t>
  </si>
  <si>
    <t>JUS5251</t>
  </si>
  <si>
    <t>Ekspropriasjonsrett</t>
  </si>
  <si>
    <t>JUS5280</t>
  </si>
  <si>
    <t>JUS5310</t>
  </si>
  <si>
    <t>JUS5401</t>
  </si>
  <si>
    <t>Maritime law: contra</t>
  </si>
  <si>
    <t>JUS5402</t>
  </si>
  <si>
    <t xml:space="preserve">Maritime law: liability </t>
  </si>
  <si>
    <t>JUS5430</t>
  </si>
  <si>
    <t>Tilvirkningskontrakt</t>
  </si>
  <si>
    <t>JUS5501</t>
  </si>
  <si>
    <t>Rettslig bevisteori</t>
  </si>
  <si>
    <t>JUS5506</t>
  </si>
  <si>
    <t>Politi- og påtalerett</t>
  </si>
  <si>
    <t>JUS5511</t>
  </si>
  <si>
    <t>Arbeidsrett (ind)</t>
  </si>
  <si>
    <t>JUS5520</t>
  </si>
  <si>
    <t>International Environmental law</t>
  </si>
  <si>
    <t>JUS5540</t>
  </si>
  <si>
    <t>Public international law</t>
  </si>
  <si>
    <t>JUS5550</t>
  </si>
  <si>
    <t>Helserett</t>
  </si>
  <si>
    <t>JUS5590</t>
  </si>
  <si>
    <t>Diskiriminerings- og likestillingsrett</t>
  </si>
  <si>
    <t>JUS5680</t>
  </si>
  <si>
    <t>Internet Governance</t>
  </si>
  <si>
    <t>JUS5710</t>
  </si>
  <si>
    <t>JUS5730</t>
  </si>
  <si>
    <t>JUS5810</t>
  </si>
  <si>
    <t>Opphavsrett</t>
  </si>
  <si>
    <t>JUS5880</t>
  </si>
  <si>
    <t>Financial market law</t>
  </si>
  <si>
    <t>JUS5912</t>
  </si>
  <si>
    <t>Legal writing</t>
  </si>
  <si>
    <t>JUS5940</t>
  </si>
  <si>
    <t>Offentlige anskaffelser</t>
  </si>
  <si>
    <t>Skatterett II</t>
  </si>
  <si>
    <t>JUS5983</t>
  </si>
  <si>
    <t xml:space="preserve">Tallene er hentet fra FS582.001 (viser antall oppmeldte ved trekkfrist og antall møtte til eksamen)  </t>
  </si>
  <si>
    <t>IKRS-emner</t>
  </si>
  <si>
    <t xml:space="preserve">Sentrale teoretiske </t>
  </si>
  <si>
    <t>KRIM2101</t>
  </si>
  <si>
    <t>Fordypningsoppgave i</t>
  </si>
  <si>
    <t>KRIM2919</t>
  </si>
  <si>
    <t>Politi, makt og samf</t>
  </si>
  <si>
    <t>KRIM4919</t>
  </si>
  <si>
    <t>KRIM4952</t>
  </si>
  <si>
    <t>KRIM5001</t>
  </si>
  <si>
    <t>Masteroppgave i krim</t>
  </si>
  <si>
    <t>RSOS1801</t>
  </si>
  <si>
    <t>Innføring i rettssos</t>
  </si>
  <si>
    <t>RSOS5001</t>
  </si>
  <si>
    <t>Masteroppgave i rett</t>
  </si>
  <si>
    <t>HUMR-emner</t>
  </si>
  <si>
    <t>HUMR5191</t>
  </si>
  <si>
    <t>Seri-emner</t>
  </si>
  <si>
    <t>H21</t>
  </si>
  <si>
    <t>H20</t>
  </si>
  <si>
    <t>H19</t>
  </si>
  <si>
    <t>FINF1001</t>
  </si>
  <si>
    <t>Digital forvaltning</t>
  </si>
  <si>
    <t>FINF4011</t>
  </si>
  <si>
    <t>Teknologi, forvaltni</t>
  </si>
  <si>
    <t>FINF4012</t>
  </si>
  <si>
    <t xml:space="preserve">Rettslig regulering </t>
  </si>
  <si>
    <t>FINF4031</t>
  </si>
  <si>
    <t>Individuell semester</t>
  </si>
  <si>
    <t>RINF1200</t>
  </si>
  <si>
    <t>Opphavsrett og beslektede rettigheter</t>
  </si>
  <si>
    <t>HUMR5131</t>
  </si>
  <si>
    <t>Human Rights in Hist</t>
  </si>
  <si>
    <t>HUMR5132</t>
  </si>
  <si>
    <t>Human Rights in Cont</t>
  </si>
  <si>
    <t>HUMR5133</t>
  </si>
  <si>
    <t>Business and Human R</t>
  </si>
  <si>
    <t>HUMR5140</t>
  </si>
  <si>
    <t>Human rights in inte</t>
  </si>
  <si>
    <t>Human rights methodology</t>
  </si>
  <si>
    <t>HUMR5502</t>
  </si>
  <si>
    <t>Dealing with Diversi</t>
  </si>
  <si>
    <t>(emnet hadde ingen oppmeldte)</t>
  </si>
  <si>
    <t>Innføring i kriminol</t>
  </si>
  <si>
    <t>KRIM1100</t>
  </si>
  <si>
    <t>KRIM1500</t>
  </si>
  <si>
    <t>Lovbrudd, lovbrytere og ofre</t>
  </si>
  <si>
    <t>KRIM2904</t>
  </si>
  <si>
    <t>Fengsler, fanger, sa</t>
  </si>
  <si>
    <t>KRIM2961</t>
  </si>
  <si>
    <t>Kriminalitetsforebyg</t>
  </si>
  <si>
    <t>KRIM4101</t>
  </si>
  <si>
    <t>A criminology of globalization</t>
  </si>
  <si>
    <t>KRIM4961</t>
  </si>
  <si>
    <t>RSOS2953</t>
  </si>
  <si>
    <t>Legal Anthropology</t>
  </si>
  <si>
    <t>RSOS4953</t>
  </si>
  <si>
    <t>JUS5850</t>
  </si>
  <si>
    <t xml:space="preserve">International Trade </t>
  </si>
  <si>
    <t>KRIM4904</t>
  </si>
  <si>
    <t>KRS4105</t>
  </si>
  <si>
    <t>KRS4106</t>
  </si>
  <si>
    <t>Kvantitativ metode</t>
  </si>
  <si>
    <t>Kvalitativ metode</t>
  </si>
  <si>
    <t>81,9*</t>
  </si>
  <si>
    <t>JUS3213</t>
  </si>
  <si>
    <t>61,4*</t>
  </si>
  <si>
    <t>Andre emner</t>
  </si>
  <si>
    <t>Formuerett II (ny h21)</t>
  </si>
  <si>
    <t>International Law of peace</t>
  </si>
  <si>
    <t>(nedlagt)</t>
  </si>
  <si>
    <t>JUROFF1550</t>
  </si>
  <si>
    <t>Introduksjon til helserett (ny h21)</t>
  </si>
  <si>
    <t>emnet gikk som JUR1550</t>
  </si>
  <si>
    <t>JUR1070</t>
  </si>
  <si>
    <t>Forhandlinger (ny h21)</t>
  </si>
  <si>
    <t>Høst 2022</t>
  </si>
  <si>
    <t>Oppmeldt</t>
  </si>
  <si>
    <t>Formuerett I (avvikletl)</t>
  </si>
  <si>
    <t>Formuerett II (avviklet)</t>
  </si>
  <si>
    <t>JUR1080</t>
  </si>
  <si>
    <t>Programming for lawyers</t>
  </si>
  <si>
    <t>H22</t>
  </si>
  <si>
    <t>JUS5070</t>
  </si>
  <si>
    <t xml:space="preserve">JUS5080 </t>
  </si>
  <si>
    <t>JUS5061</t>
  </si>
  <si>
    <t>Domsskriving og domsanalyse</t>
  </si>
  <si>
    <t>JUS5630</t>
  </si>
  <si>
    <t>Privacy and data protection</t>
  </si>
  <si>
    <t>International human rights law</t>
  </si>
  <si>
    <t>Antall møtt valgemner MA</t>
  </si>
  <si>
    <t>Antall møtt valgemner BA</t>
  </si>
  <si>
    <t>Antall møtt alle valgemner</t>
  </si>
  <si>
    <t>Antall møtte studieårsemner</t>
  </si>
  <si>
    <t>Alle møtte studieemner + valgemner</t>
  </si>
  <si>
    <t>(våremne)</t>
  </si>
  <si>
    <t>140*</t>
  </si>
  <si>
    <t>*vil justeres (øke)</t>
  </si>
  <si>
    <t>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</si>
</sst>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0"/>
      <name val="Arial"/>
      <family val="2"/>
    </font>
    <font>
      <sz val="11"/>
      <name val="Calibri"/>
      <family val="2"/>
      <scheme val="minor"/>
    </font>
    <font>
      <b/>
      <sz val="10"/>
      <name val="Arial"/>
      <family val="2"/>
    </font>
    <font>
      <b/>
      <sz val="10"/>
      <color theme="1"/>
      <name val="Calibri body"/>
    </font>
    <font>
      <sz val="10"/>
      <name val="Arial"/>
      <family val="2"/>
    </font>
    <font>
      <b/>
      <sz val="11"/>
      <color rgb="FF000000"/>
      <name val="Calibri"/>
      <family val="2"/>
      <scheme val="minor"/>
    </font>
  </fonts>
  <fills count="17">
    <fill>
      <patternFill patternType="none"/>
    </fill>
    <fill>
      <patternFill patternType="gray125"/>
    </fill>
    <fill>
      <patternFill patternType="solid">
        <fgColor theme="1"/>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rgb="FFFFFF00"/>
        <bgColor indexed="64"/>
      </patternFill>
    </fill>
    <fill>
      <patternFill patternType="solid">
        <fgColor theme="5" tint="0.59999389629810485"/>
        <bgColor indexed="64"/>
      </patternFill>
    </fill>
    <fill>
      <patternFill patternType="solid">
        <fgColor rgb="FFC00000"/>
        <bgColor indexed="64"/>
      </patternFill>
    </fill>
    <fill>
      <patternFill patternType="solid">
        <fgColor rgb="FFFF0000"/>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rgb="FFFFC000"/>
        <bgColor indexed="64"/>
      </patternFill>
    </fill>
    <fill>
      <patternFill patternType="solid">
        <fgColor theme="0"/>
        <bgColor indexed="64"/>
      </patternFill>
    </fill>
    <fill>
      <patternFill patternType="solid">
        <fgColor rgb="FFCCECFF"/>
        <bgColor indexed="64"/>
      </patternFill>
    </fill>
    <fill>
      <patternFill patternType="solid">
        <fgColor theme="2" tint="-9.9978637043366805E-2"/>
        <bgColor indexed="64"/>
      </patternFill>
    </fill>
    <fill>
      <patternFill patternType="solid">
        <fgColor theme="3" tint="0.79998168889431442"/>
        <bgColor indexed="64"/>
      </patternFill>
    </fill>
  </fills>
  <borders count="3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s>
  <cellStyleXfs count="5">
    <xf numFmtId="0" fontId="0" fillId="0" borderId="0"/>
    <xf numFmtId="9" fontId="1" fillId="0" borderId="0" applyFont="0" applyFill="0" applyBorder="0" applyAlignment="0" applyProtection="0"/>
    <xf numFmtId="0" fontId="4" fillId="0" borderId="0"/>
    <xf numFmtId="0" fontId="4" fillId="0" borderId="0"/>
    <xf numFmtId="0" fontId="8" fillId="0" borderId="0"/>
  </cellStyleXfs>
  <cellXfs count="458">
    <xf numFmtId="0" fontId="0" fillId="0" borderId="0" xfId="0"/>
    <xf numFmtId="0" fontId="3" fillId="0" borderId="0" xfId="0" applyFont="1" applyBorder="1"/>
    <xf numFmtId="0" fontId="0" fillId="2" borderId="0" xfId="0" applyFill="1"/>
    <xf numFmtId="0" fontId="0" fillId="0" borderId="0" xfId="0" applyFill="1"/>
    <xf numFmtId="0" fontId="2" fillId="0" borderId="0" xfId="0" applyFont="1" applyBorder="1"/>
    <xf numFmtId="0" fontId="2" fillId="3" borderId="2" xfId="0" applyFont="1" applyFill="1" applyBorder="1"/>
    <xf numFmtId="9" fontId="2" fillId="3" borderId="2" xfId="1" applyFont="1" applyFill="1" applyBorder="1"/>
    <xf numFmtId="9" fontId="2" fillId="2" borderId="2" xfId="1" applyFont="1" applyFill="1" applyBorder="1"/>
    <xf numFmtId="0" fontId="0" fillId="4" borderId="1" xfId="0" applyFill="1" applyBorder="1"/>
    <xf numFmtId="0" fontId="2" fillId="4" borderId="2" xfId="0" applyFont="1" applyFill="1" applyBorder="1"/>
    <xf numFmtId="9" fontId="2" fillId="4" borderId="2" xfId="1" applyFont="1" applyFill="1" applyBorder="1"/>
    <xf numFmtId="0" fontId="2" fillId="2" borderId="2" xfId="0" applyFont="1" applyFill="1" applyBorder="1"/>
    <xf numFmtId="0" fontId="0" fillId="5" borderId="1" xfId="0" applyFill="1" applyBorder="1"/>
    <xf numFmtId="0" fontId="2" fillId="5" borderId="2" xfId="0" applyFont="1" applyFill="1" applyBorder="1"/>
    <xf numFmtId="9" fontId="2" fillId="5" borderId="2" xfId="1" applyFont="1" applyFill="1" applyBorder="1"/>
    <xf numFmtId="0" fontId="2" fillId="6" borderId="1" xfId="0" applyFont="1" applyFill="1" applyBorder="1"/>
    <xf numFmtId="0" fontId="0" fillId="6" borderId="2" xfId="0" applyFill="1" applyBorder="1"/>
    <xf numFmtId="0" fontId="2" fillId="3" borderId="1" xfId="0" applyFont="1" applyFill="1" applyBorder="1"/>
    <xf numFmtId="0" fontId="2" fillId="3" borderId="2" xfId="0" applyFont="1" applyFill="1" applyBorder="1" applyAlignment="1">
      <alignment horizontal="right"/>
    </xf>
    <xf numFmtId="9" fontId="2" fillId="3" borderId="2" xfId="1" applyFont="1" applyFill="1" applyBorder="1" applyAlignment="1">
      <alignment horizontal="right"/>
    </xf>
    <xf numFmtId="9" fontId="2" fillId="2" borderId="2" xfId="1" applyFont="1" applyFill="1" applyBorder="1" applyAlignment="1">
      <alignment horizontal="right"/>
    </xf>
    <xf numFmtId="0" fontId="2" fillId="4" borderId="1" xfId="0" applyFont="1" applyFill="1" applyBorder="1"/>
    <xf numFmtId="0" fontId="2" fillId="4" borderId="2" xfId="0" applyFont="1" applyFill="1" applyBorder="1" applyAlignment="1">
      <alignment horizontal="right"/>
    </xf>
    <xf numFmtId="9" fontId="2" fillId="4" borderId="2" xfId="1" applyFont="1" applyFill="1" applyBorder="1" applyAlignment="1">
      <alignment horizontal="right"/>
    </xf>
    <xf numFmtId="0" fontId="2" fillId="5" borderId="1" xfId="0" applyFont="1" applyFill="1" applyBorder="1"/>
    <xf numFmtId="0" fontId="2" fillId="5" borderId="2" xfId="0" applyFont="1" applyFill="1" applyBorder="1" applyAlignment="1">
      <alignment horizontal="right"/>
    </xf>
    <xf numFmtId="9" fontId="2" fillId="5" borderId="2" xfId="1" applyFont="1" applyFill="1" applyBorder="1" applyAlignment="1">
      <alignment horizontal="right"/>
    </xf>
    <xf numFmtId="0" fontId="0" fillId="0" borderId="0" xfId="0" applyFill="1" applyBorder="1"/>
    <xf numFmtId="0" fontId="2" fillId="2" borderId="0" xfId="0" applyFont="1" applyFill="1" applyBorder="1"/>
    <xf numFmtId="0" fontId="0" fillId="0" borderId="3" xfId="0" applyBorder="1"/>
    <xf numFmtId="0" fontId="0" fillId="0" borderId="0" xfId="0" applyBorder="1"/>
    <xf numFmtId="0" fontId="0" fillId="3" borderId="0" xfId="0" applyFill="1" applyBorder="1"/>
    <xf numFmtId="9" fontId="0" fillId="3" borderId="0" xfId="1" applyFont="1" applyFill="1" applyBorder="1"/>
    <xf numFmtId="9" fontId="0" fillId="2" borderId="0" xfId="1" applyFont="1" applyFill="1" applyBorder="1"/>
    <xf numFmtId="0" fontId="0" fillId="4" borderId="0" xfId="0" applyFill="1" applyBorder="1"/>
    <xf numFmtId="9" fontId="0" fillId="4" borderId="0" xfId="1" applyFont="1" applyFill="1" applyBorder="1"/>
    <xf numFmtId="0" fontId="0" fillId="4" borderId="5" xfId="0" applyFill="1" applyBorder="1"/>
    <xf numFmtId="0" fontId="0" fillId="2" borderId="0" xfId="0" applyFill="1" applyBorder="1"/>
    <xf numFmtId="0" fontId="0" fillId="5" borderId="0" xfId="0" applyFill="1" applyBorder="1"/>
    <xf numFmtId="9" fontId="4" fillId="5" borderId="0" xfId="1" applyFont="1" applyFill="1" applyBorder="1"/>
    <xf numFmtId="0" fontId="4" fillId="0" borderId="0" xfId="2" applyBorder="1"/>
    <xf numFmtId="0" fontId="4" fillId="3" borderId="0" xfId="2" applyFill="1" applyBorder="1"/>
    <xf numFmtId="0" fontId="4" fillId="4" borderId="0" xfId="2" applyFill="1" applyBorder="1"/>
    <xf numFmtId="0" fontId="0" fillId="7" borderId="5" xfId="0" applyFill="1" applyBorder="1"/>
    <xf numFmtId="0" fontId="4" fillId="5" borderId="0" xfId="2" applyFill="1" applyBorder="1"/>
    <xf numFmtId="9" fontId="4" fillId="3" borderId="0" xfId="1" applyFont="1" applyFill="1" applyBorder="1"/>
    <xf numFmtId="9" fontId="4" fillId="2" borderId="0" xfId="1" applyFont="1" applyFill="1" applyBorder="1"/>
    <xf numFmtId="9" fontId="4" fillId="4" borderId="0" xfId="1" applyFont="1" applyFill="1" applyBorder="1"/>
    <xf numFmtId="0" fontId="4" fillId="0" borderId="3" xfId="2" applyBorder="1"/>
    <xf numFmtId="0" fontId="4" fillId="5" borderId="0" xfId="3" applyFill="1" applyBorder="1"/>
    <xf numFmtId="0" fontId="4" fillId="0" borderId="0" xfId="2" applyFill="1" applyBorder="1"/>
    <xf numFmtId="0" fontId="0" fillId="0" borderId="6" xfId="0" applyBorder="1"/>
    <xf numFmtId="0" fontId="6" fillId="0" borderId="7" xfId="2" applyFont="1" applyFill="1" applyBorder="1"/>
    <xf numFmtId="0" fontId="2" fillId="3" borderId="7" xfId="0" applyFont="1" applyFill="1" applyBorder="1"/>
    <xf numFmtId="9" fontId="2" fillId="3" borderId="7" xfId="1" applyFont="1" applyFill="1" applyBorder="1"/>
    <xf numFmtId="9" fontId="2" fillId="2" borderId="7" xfId="1" applyFont="1" applyFill="1" applyBorder="1"/>
    <xf numFmtId="0" fontId="0" fillId="2" borderId="7" xfId="0" applyFill="1" applyBorder="1"/>
    <xf numFmtId="0" fontId="6" fillId="0" borderId="0" xfId="2" applyFont="1" applyFill="1" applyBorder="1"/>
    <xf numFmtId="9" fontId="0" fillId="0" borderId="0" xfId="1" applyFont="1" applyFill="1"/>
    <xf numFmtId="0" fontId="2" fillId="4" borderId="0" xfId="0" applyFont="1" applyFill="1" applyBorder="1"/>
    <xf numFmtId="9" fontId="0" fillId="0" borderId="0" xfId="1" applyFont="1"/>
    <xf numFmtId="9" fontId="2" fillId="3" borderId="9" xfId="1" applyFont="1" applyFill="1" applyBorder="1" applyAlignment="1">
      <alignment horizontal="right"/>
    </xf>
    <xf numFmtId="9" fontId="2" fillId="3" borderId="0" xfId="1" applyFont="1" applyFill="1" applyBorder="1" applyAlignment="1">
      <alignment horizontal="right"/>
    </xf>
    <xf numFmtId="9" fontId="2" fillId="2" borderId="0" xfId="1" applyFont="1" applyFill="1" applyBorder="1" applyAlignment="1">
      <alignment horizontal="right"/>
    </xf>
    <xf numFmtId="9" fontId="2" fillId="4" borderId="0" xfId="1" applyFont="1" applyFill="1" applyBorder="1" applyAlignment="1">
      <alignment horizontal="right"/>
    </xf>
    <xf numFmtId="0" fontId="4" fillId="2" borderId="0" xfId="2" applyFill="1" applyBorder="1"/>
    <xf numFmtId="0" fontId="4" fillId="5" borderId="3" xfId="3" applyFill="1" applyBorder="1"/>
    <xf numFmtId="9" fontId="4" fillId="3" borderId="0" xfId="2" applyNumberFormat="1" applyFill="1" applyBorder="1"/>
    <xf numFmtId="9" fontId="0" fillId="5" borderId="0" xfId="1" applyFont="1" applyFill="1" applyBorder="1"/>
    <xf numFmtId="0" fontId="4" fillId="0" borderId="1" xfId="2" applyBorder="1"/>
    <xf numFmtId="9" fontId="2" fillId="3" borderId="9" xfId="1" applyFont="1" applyFill="1" applyBorder="1"/>
    <xf numFmtId="0" fontId="2" fillId="0" borderId="0" xfId="0" applyFont="1" applyFill="1" applyBorder="1"/>
    <xf numFmtId="9" fontId="2" fillId="0" borderId="0" xfId="1" applyFont="1" applyFill="1" applyBorder="1"/>
    <xf numFmtId="0" fontId="6" fillId="6" borderId="10" xfId="2" applyFont="1" applyFill="1" applyBorder="1"/>
    <xf numFmtId="0" fontId="6" fillId="0" borderId="12" xfId="2" applyFont="1" applyFill="1" applyBorder="1"/>
    <xf numFmtId="0" fontId="2" fillId="3" borderId="12" xfId="0" applyFont="1" applyFill="1" applyBorder="1"/>
    <xf numFmtId="9" fontId="2" fillId="3" borderId="12" xfId="1" applyFont="1" applyFill="1" applyBorder="1"/>
    <xf numFmtId="9" fontId="2" fillId="2" borderId="12" xfId="1" applyFont="1" applyFill="1" applyBorder="1"/>
    <xf numFmtId="0" fontId="2" fillId="4" borderId="12" xfId="0" applyFont="1" applyFill="1" applyBorder="1"/>
    <xf numFmtId="9" fontId="2" fillId="4" borderId="12" xfId="1" applyFont="1" applyFill="1" applyBorder="1"/>
    <xf numFmtId="0" fontId="2" fillId="2" borderId="12" xfId="0" applyFont="1" applyFill="1" applyBorder="1"/>
    <xf numFmtId="0" fontId="2" fillId="5" borderId="12" xfId="0" applyFont="1" applyFill="1" applyBorder="1"/>
    <xf numFmtId="9" fontId="2" fillId="5" borderId="12" xfId="1" applyFont="1" applyFill="1" applyBorder="1"/>
    <xf numFmtId="0" fontId="6" fillId="6" borderId="13" xfId="2" applyFont="1" applyFill="1" applyBorder="1"/>
    <xf numFmtId="0" fontId="6" fillId="0" borderId="14" xfId="2" applyFont="1" applyFill="1" applyBorder="1"/>
    <xf numFmtId="0" fontId="2" fillId="3" borderId="14" xfId="0" applyFont="1" applyFill="1" applyBorder="1"/>
    <xf numFmtId="9" fontId="2" fillId="3" borderId="14" xfId="1" applyFont="1" applyFill="1" applyBorder="1"/>
    <xf numFmtId="9" fontId="2" fillId="2" borderId="14" xfId="1" applyFont="1" applyFill="1" applyBorder="1"/>
    <xf numFmtId="0" fontId="2" fillId="4" borderId="14" xfId="0" applyFont="1" applyFill="1" applyBorder="1"/>
    <xf numFmtId="9" fontId="2" fillId="4" borderId="14" xfId="1" applyFont="1" applyFill="1" applyBorder="1"/>
    <xf numFmtId="0" fontId="2" fillId="2" borderId="14" xfId="0" applyFont="1" applyFill="1" applyBorder="1"/>
    <xf numFmtId="0" fontId="2" fillId="5" borderId="14" xfId="0" applyFont="1" applyFill="1" applyBorder="1"/>
    <xf numFmtId="9" fontId="2" fillId="5" borderId="14" xfId="1" applyFont="1" applyFill="1" applyBorder="1"/>
    <xf numFmtId="9" fontId="0" fillId="0" borderId="0" xfId="1" applyFont="1" applyBorder="1"/>
    <xf numFmtId="9" fontId="0" fillId="0" borderId="0" xfId="1" applyFont="1" applyFill="1" applyBorder="1"/>
    <xf numFmtId="0" fontId="6" fillId="0" borderId="10" xfId="2" applyFont="1" applyBorder="1"/>
    <xf numFmtId="0" fontId="2" fillId="0" borderId="12" xfId="0" applyFont="1" applyBorder="1"/>
    <xf numFmtId="0" fontId="0" fillId="0" borderId="12" xfId="0" applyFont="1" applyFill="1" applyBorder="1"/>
    <xf numFmtId="9" fontId="1" fillId="0" borderId="12" xfId="1" applyFont="1" applyFill="1" applyBorder="1"/>
    <xf numFmtId="9" fontId="1" fillId="2" borderId="12" xfId="1" applyFont="1" applyFill="1" applyBorder="1"/>
    <xf numFmtId="0" fontId="6" fillId="6" borderId="1" xfId="2" applyFont="1" applyFill="1" applyBorder="1"/>
    <xf numFmtId="0" fontId="4" fillId="0" borderId="0" xfId="2" applyFont="1" applyFill="1" applyBorder="1"/>
    <xf numFmtId="0" fontId="4" fillId="3" borderId="15" xfId="2" applyFill="1" applyBorder="1"/>
    <xf numFmtId="0" fontId="0" fillId="2" borderId="0" xfId="0" applyFont="1" applyFill="1" applyBorder="1"/>
    <xf numFmtId="0" fontId="4" fillId="0" borderId="0" xfId="2" applyFont="1" applyBorder="1"/>
    <xf numFmtId="0" fontId="4" fillId="3" borderId="0" xfId="2" applyFont="1" applyFill="1" applyBorder="1"/>
    <xf numFmtId="9" fontId="4" fillId="3" borderId="15" xfId="1" applyFont="1" applyFill="1" applyBorder="1"/>
    <xf numFmtId="9" fontId="1" fillId="4" borderId="0" xfId="1" applyFont="1" applyFill="1" applyBorder="1"/>
    <xf numFmtId="9" fontId="1" fillId="3" borderId="15" xfId="1" applyFont="1" applyFill="1" applyBorder="1"/>
    <xf numFmtId="9" fontId="1" fillId="3" borderId="0" xfId="1" applyFont="1" applyFill="1" applyBorder="1"/>
    <xf numFmtId="9" fontId="1" fillId="2" borderId="0" xfId="1" applyFont="1" applyFill="1" applyBorder="1"/>
    <xf numFmtId="0" fontId="4" fillId="0" borderId="10" xfId="2" applyFont="1" applyBorder="1"/>
    <xf numFmtId="0" fontId="6" fillId="0" borderId="1" xfId="2" applyFont="1" applyBorder="1"/>
    <xf numFmtId="0" fontId="6" fillId="3" borderId="2" xfId="2" applyFont="1" applyFill="1" applyBorder="1"/>
    <xf numFmtId="0" fontId="6" fillId="4" borderId="2" xfId="2" applyFont="1" applyFill="1" applyBorder="1"/>
    <xf numFmtId="9" fontId="2" fillId="5" borderId="9" xfId="1" applyFont="1" applyFill="1" applyBorder="1"/>
    <xf numFmtId="0" fontId="6" fillId="0" borderId="0" xfId="2" applyFont="1" applyBorder="1"/>
    <xf numFmtId="0" fontId="7" fillId="4" borderId="14" xfId="0" applyFont="1" applyFill="1" applyBorder="1"/>
    <xf numFmtId="9" fontId="7" fillId="4" borderId="14" xfId="1" applyFont="1" applyFill="1" applyBorder="1"/>
    <xf numFmtId="0" fontId="7" fillId="0" borderId="0" xfId="0" applyFont="1" applyFill="1" applyBorder="1"/>
    <xf numFmtId="9" fontId="7" fillId="0" borderId="0" xfId="1" applyFont="1" applyFill="1" applyBorder="1"/>
    <xf numFmtId="0" fontId="6" fillId="6" borderId="16" xfId="2" applyFont="1" applyFill="1" applyBorder="1"/>
    <xf numFmtId="0" fontId="0" fillId="6" borderId="12" xfId="0" applyFill="1" applyBorder="1"/>
    <xf numFmtId="0" fontId="2" fillId="10" borderId="12" xfId="0" applyFont="1" applyFill="1" applyBorder="1"/>
    <xf numFmtId="9" fontId="2" fillId="10" borderId="12" xfId="1" applyFont="1" applyFill="1" applyBorder="1"/>
    <xf numFmtId="0" fontId="7" fillId="10" borderId="12" xfId="0" applyFont="1" applyFill="1" applyBorder="1"/>
    <xf numFmtId="9" fontId="7" fillId="10" borderId="12" xfId="1" applyFont="1" applyFill="1" applyBorder="1"/>
    <xf numFmtId="9" fontId="2" fillId="10" borderId="11" xfId="1" applyFont="1" applyFill="1" applyBorder="1"/>
    <xf numFmtId="0" fontId="6" fillId="6" borderId="17" xfId="2" applyFont="1" applyFill="1" applyBorder="1"/>
    <xf numFmtId="0" fontId="0" fillId="6" borderId="0" xfId="0" applyFill="1" applyBorder="1"/>
    <xf numFmtId="0" fontId="6" fillId="6" borderId="18" xfId="2" applyFont="1" applyFill="1" applyBorder="1"/>
    <xf numFmtId="0" fontId="0" fillId="10" borderId="0" xfId="0" applyFill="1" applyBorder="1"/>
    <xf numFmtId="0" fontId="2" fillId="10" borderId="0" xfId="0" applyFont="1" applyFill="1" applyBorder="1"/>
    <xf numFmtId="0" fontId="0" fillId="10" borderId="5" xfId="0" applyFill="1" applyBorder="1"/>
    <xf numFmtId="0" fontId="6" fillId="6" borderId="2" xfId="2" applyFont="1" applyFill="1" applyBorder="1"/>
    <xf numFmtId="0" fontId="6" fillId="10" borderId="2" xfId="2" applyFont="1" applyFill="1" applyBorder="1"/>
    <xf numFmtId="0" fontId="2" fillId="10" borderId="2" xfId="0" applyFont="1" applyFill="1" applyBorder="1"/>
    <xf numFmtId="0" fontId="2" fillId="10" borderId="9" xfId="0" applyFont="1" applyFill="1" applyBorder="1"/>
    <xf numFmtId="9" fontId="2" fillId="5" borderId="9" xfId="1" applyFont="1" applyFill="1" applyBorder="1" applyAlignment="1">
      <alignment horizontal="right"/>
    </xf>
    <xf numFmtId="0" fontId="4" fillId="5" borderId="5" xfId="3" applyFill="1" applyBorder="1"/>
    <xf numFmtId="0" fontId="0" fillId="5" borderId="9" xfId="0" applyFill="1" applyBorder="1"/>
    <xf numFmtId="9" fontId="2" fillId="5" borderId="11" xfId="1" applyFont="1" applyFill="1" applyBorder="1"/>
    <xf numFmtId="9" fontId="2" fillId="5" borderId="19" xfId="1" applyFont="1" applyFill="1" applyBorder="1"/>
    <xf numFmtId="9" fontId="1" fillId="0" borderId="11" xfId="1" applyFont="1" applyFill="1" applyBorder="1"/>
    <xf numFmtId="9" fontId="0" fillId="10" borderId="0" xfId="1" applyFont="1" applyFill="1" applyBorder="1"/>
    <xf numFmtId="0" fontId="4" fillId="10" borderId="0" xfId="2" applyFill="1" applyBorder="1"/>
    <xf numFmtId="9" fontId="4" fillId="10" borderId="0" xfId="1" applyFont="1" applyFill="1" applyBorder="1"/>
    <xf numFmtId="0" fontId="4" fillId="10" borderId="0" xfId="2" applyFill="1"/>
    <xf numFmtId="0" fontId="0" fillId="10" borderId="3" xfId="0" applyFill="1" applyBorder="1"/>
    <xf numFmtId="0" fontId="4" fillId="10" borderId="3" xfId="2" applyFill="1" applyBorder="1"/>
    <xf numFmtId="0" fontId="0" fillId="10" borderId="13" xfId="0" applyFill="1" applyBorder="1"/>
    <xf numFmtId="0" fontId="0" fillId="10" borderId="14" xfId="0" applyFill="1" applyBorder="1"/>
    <xf numFmtId="9" fontId="0" fillId="10" borderId="14" xfId="1" applyFont="1" applyFill="1" applyBorder="1"/>
    <xf numFmtId="0" fontId="0" fillId="12" borderId="5" xfId="0" applyFill="1" applyBorder="1"/>
    <xf numFmtId="0" fontId="5" fillId="10" borderId="5" xfId="0" applyFont="1" applyFill="1" applyBorder="1"/>
    <xf numFmtId="0" fontId="0" fillId="9" borderId="5" xfId="0" applyFill="1" applyBorder="1"/>
    <xf numFmtId="0" fontId="0" fillId="10" borderId="19" xfId="0" applyFill="1" applyBorder="1"/>
    <xf numFmtId="0" fontId="4" fillId="12" borderId="5" xfId="3" applyFill="1" applyBorder="1"/>
    <xf numFmtId="0" fontId="4" fillId="11" borderId="5" xfId="3" applyFill="1" applyBorder="1"/>
    <xf numFmtId="0" fontId="4" fillId="5" borderId="14" xfId="3" applyFill="1" applyBorder="1"/>
    <xf numFmtId="9" fontId="4" fillId="5" borderId="14" xfId="1" applyFont="1" applyFill="1" applyBorder="1"/>
    <xf numFmtId="0" fontId="0" fillId="5" borderId="19" xfId="0" applyFill="1" applyBorder="1"/>
    <xf numFmtId="0" fontId="5" fillId="13" borderId="0" xfId="0" applyFont="1" applyFill="1" applyBorder="1"/>
    <xf numFmtId="0" fontId="0" fillId="0" borderId="5" xfId="0" applyBorder="1"/>
    <xf numFmtId="0" fontId="0" fillId="0" borderId="19" xfId="0" applyBorder="1"/>
    <xf numFmtId="9" fontId="4" fillId="10" borderId="14" xfId="1" applyFont="1" applyFill="1" applyBorder="1"/>
    <xf numFmtId="0" fontId="4" fillId="5" borderId="13" xfId="3" applyFill="1" applyBorder="1"/>
    <xf numFmtId="0" fontId="2" fillId="10" borderId="1" xfId="0" applyFont="1" applyFill="1" applyBorder="1"/>
    <xf numFmtId="0" fontId="2" fillId="10" borderId="13" xfId="0" applyFont="1" applyFill="1" applyBorder="1"/>
    <xf numFmtId="0" fontId="2" fillId="10" borderId="14" xfId="0" applyFont="1" applyFill="1" applyBorder="1"/>
    <xf numFmtId="9" fontId="2" fillId="10" borderId="14" xfId="1" applyFont="1" applyFill="1" applyBorder="1"/>
    <xf numFmtId="0" fontId="0" fillId="13" borderId="3" xfId="0" applyFill="1" applyBorder="1"/>
    <xf numFmtId="0" fontId="4" fillId="13" borderId="3" xfId="3" applyFill="1" applyBorder="1"/>
    <xf numFmtId="0" fontId="4" fillId="0" borderId="0" xfId="3" applyBorder="1"/>
    <xf numFmtId="0" fontId="4" fillId="0" borderId="0" xfId="3" applyFill="1" applyBorder="1"/>
    <xf numFmtId="0" fontId="0" fillId="0" borderId="3" xfId="0" applyFill="1" applyBorder="1"/>
    <xf numFmtId="0" fontId="4" fillId="5" borderId="3" xfId="2" applyFill="1" applyBorder="1"/>
    <xf numFmtId="0" fontId="0" fillId="5" borderId="3" xfId="0" applyFill="1" applyBorder="1"/>
    <xf numFmtId="10" fontId="0" fillId="0" borderId="0" xfId="0" applyNumberFormat="1"/>
    <xf numFmtId="0" fontId="0" fillId="0" borderId="10" xfId="0" applyBorder="1"/>
    <xf numFmtId="0" fontId="0" fillId="0" borderId="12" xfId="0" applyBorder="1"/>
    <xf numFmtId="0" fontId="0" fillId="0" borderId="11" xfId="0" applyBorder="1"/>
    <xf numFmtId="0" fontId="2" fillId="3" borderId="10" xfId="0" applyFont="1" applyFill="1" applyBorder="1"/>
    <xf numFmtId="10" fontId="2" fillId="3" borderId="11" xfId="0" applyNumberFormat="1" applyFont="1" applyFill="1" applyBorder="1"/>
    <xf numFmtId="0" fontId="2" fillId="10" borderId="10" xfId="0" applyFont="1" applyFill="1" applyBorder="1"/>
    <xf numFmtId="0" fontId="4" fillId="6" borderId="1" xfId="2" applyFont="1" applyFill="1" applyBorder="1"/>
    <xf numFmtId="0" fontId="0" fillId="6" borderId="9" xfId="0" applyFill="1" applyBorder="1"/>
    <xf numFmtId="0" fontId="2" fillId="10" borderId="2" xfId="0" applyFont="1" applyFill="1" applyBorder="1" applyAlignment="1">
      <alignment horizontal="right"/>
    </xf>
    <xf numFmtId="9" fontId="2" fillId="10" borderId="2" xfId="1" applyFont="1" applyFill="1" applyBorder="1" applyAlignment="1">
      <alignment horizontal="right"/>
    </xf>
    <xf numFmtId="0" fontId="4" fillId="0" borderId="5" xfId="2" applyBorder="1"/>
    <xf numFmtId="0" fontId="4" fillId="3" borderId="3" xfId="2" applyFill="1" applyBorder="1"/>
    <xf numFmtId="0" fontId="4" fillId="13" borderId="5" xfId="2" applyFill="1" applyBorder="1"/>
    <xf numFmtId="0" fontId="6" fillId="0" borderId="2" xfId="2" applyFont="1" applyBorder="1"/>
    <xf numFmtId="0" fontId="6" fillId="0" borderId="9" xfId="2" applyFont="1" applyBorder="1"/>
    <xf numFmtId="0" fontId="4" fillId="6" borderId="1" xfId="2" applyFill="1" applyBorder="1"/>
    <xf numFmtId="0" fontId="4" fillId="6" borderId="9" xfId="2" applyFill="1" applyBorder="1"/>
    <xf numFmtId="0" fontId="4" fillId="0" borderId="13" xfId="2" applyBorder="1"/>
    <xf numFmtId="0" fontId="4" fillId="0" borderId="19" xfId="2" applyBorder="1"/>
    <xf numFmtId="0" fontId="4" fillId="10" borderId="14" xfId="2" applyFill="1" applyBorder="1"/>
    <xf numFmtId="9" fontId="2" fillId="10" borderId="9" xfId="1" applyFont="1" applyFill="1" applyBorder="1" applyAlignment="1">
      <alignment horizontal="right"/>
    </xf>
    <xf numFmtId="0" fontId="4" fillId="0" borderId="14" xfId="2" applyBorder="1"/>
    <xf numFmtId="0" fontId="0" fillId="0" borderId="13" xfId="0" applyBorder="1"/>
    <xf numFmtId="0" fontId="2" fillId="0" borderId="14" xfId="0" applyFont="1" applyBorder="1"/>
    <xf numFmtId="0" fontId="2" fillId="3" borderId="13" xfId="0" applyFont="1" applyFill="1" applyBorder="1"/>
    <xf numFmtId="9" fontId="6" fillId="10" borderId="2" xfId="1" applyFont="1" applyFill="1" applyBorder="1"/>
    <xf numFmtId="0" fontId="4" fillId="5" borderId="14" xfId="2" applyFill="1" applyBorder="1"/>
    <xf numFmtId="9" fontId="0" fillId="5" borderId="14" xfId="1" applyFont="1" applyFill="1" applyBorder="1"/>
    <xf numFmtId="0" fontId="4" fillId="5" borderId="2" xfId="2" applyFill="1" applyBorder="1"/>
    <xf numFmtId="9" fontId="0" fillId="5" borderId="2" xfId="1" applyFont="1" applyFill="1" applyBorder="1"/>
    <xf numFmtId="0" fontId="6" fillId="5" borderId="2" xfId="2" applyFont="1" applyFill="1" applyBorder="1"/>
    <xf numFmtId="0" fontId="0" fillId="5" borderId="14" xfId="0" applyFill="1" applyBorder="1"/>
    <xf numFmtId="0" fontId="8" fillId="0" borderId="0" xfId="4" applyFill="1"/>
    <xf numFmtId="0" fontId="4" fillId="0" borderId="0" xfId="2" applyFill="1"/>
    <xf numFmtId="0" fontId="4" fillId="0" borderId="0" xfId="2"/>
    <xf numFmtId="0" fontId="4" fillId="0" borderId="0" xfId="2"/>
    <xf numFmtId="0" fontId="4" fillId="0" borderId="0" xfId="2"/>
    <xf numFmtId="0" fontId="4" fillId="0" borderId="0" xfId="2"/>
    <xf numFmtId="0" fontId="4" fillId="0" borderId="0" xfId="2"/>
    <xf numFmtId="0" fontId="4" fillId="0" borderId="0" xfId="2"/>
    <xf numFmtId="0" fontId="4" fillId="0" borderId="0" xfId="2"/>
    <xf numFmtId="0" fontId="2" fillId="3" borderId="20" xfId="0" applyFont="1" applyFill="1" applyBorder="1"/>
    <xf numFmtId="9" fontId="2" fillId="3" borderId="20" xfId="1" applyFont="1" applyFill="1" applyBorder="1"/>
    <xf numFmtId="9" fontId="2" fillId="3" borderId="21" xfId="1" applyFont="1" applyFill="1" applyBorder="1"/>
    <xf numFmtId="9" fontId="2" fillId="3" borderId="23" xfId="1" applyFont="1" applyFill="1" applyBorder="1" applyAlignment="1">
      <alignment horizontal="right"/>
    </xf>
    <xf numFmtId="0" fontId="0" fillId="3" borderId="15" xfId="1" applyNumberFormat="1" applyFont="1" applyFill="1" applyBorder="1"/>
    <xf numFmtId="0" fontId="4" fillId="12" borderId="15" xfId="1" applyNumberFormat="1" applyFont="1" applyFill="1" applyBorder="1"/>
    <xf numFmtId="0" fontId="4" fillId="3" borderId="15" xfId="1" applyNumberFormat="1" applyFont="1" applyFill="1" applyBorder="1" applyAlignment="1">
      <alignment horizontal="right"/>
    </xf>
    <xf numFmtId="0" fontId="4" fillId="3" borderId="15" xfId="1" applyNumberFormat="1" applyFont="1" applyFill="1" applyBorder="1"/>
    <xf numFmtId="0" fontId="4" fillId="11" borderId="15" xfId="1" applyNumberFormat="1" applyFont="1" applyFill="1" applyBorder="1"/>
    <xf numFmtId="9" fontId="2" fillId="3" borderId="8" xfId="1" applyFont="1" applyFill="1" applyBorder="1"/>
    <xf numFmtId="0" fontId="8" fillId="3" borderId="0" xfId="4" applyFill="1" applyBorder="1"/>
    <xf numFmtId="0" fontId="4" fillId="3" borderId="0" xfId="2" applyFill="1"/>
    <xf numFmtId="0" fontId="0" fillId="10" borderId="0" xfId="0" applyFill="1"/>
    <xf numFmtId="0" fontId="4" fillId="4" borderId="0" xfId="2" applyFill="1"/>
    <xf numFmtId="0" fontId="6" fillId="3" borderId="2" xfId="4" applyFont="1" applyFill="1" applyBorder="1"/>
    <xf numFmtId="0" fontId="0" fillId="4" borderId="9" xfId="0" applyFill="1" applyBorder="1"/>
    <xf numFmtId="0" fontId="0" fillId="5" borderId="5" xfId="0" applyFill="1" applyBorder="1"/>
    <xf numFmtId="9" fontId="4" fillId="5" borderId="5" xfId="1" applyFont="1" applyFill="1" applyBorder="1"/>
    <xf numFmtId="9" fontId="4" fillId="5" borderId="19" xfId="1" applyFont="1" applyFill="1" applyBorder="1"/>
    <xf numFmtId="0" fontId="4" fillId="8" borderId="15" xfId="1" applyNumberFormat="1" applyFont="1" applyFill="1" applyBorder="1" applyAlignment="1">
      <alignment horizontal="right"/>
    </xf>
    <xf numFmtId="9" fontId="1" fillId="3" borderId="0" xfId="1" applyFont="1" applyFill="1" applyBorder="1" applyAlignment="1">
      <alignment horizontal="right"/>
    </xf>
    <xf numFmtId="10" fontId="4" fillId="0" borderId="0" xfId="2" applyNumberFormat="1" applyFill="1" applyBorder="1"/>
    <xf numFmtId="0" fontId="4" fillId="3" borderId="12" xfId="2" applyFill="1" applyBorder="1"/>
    <xf numFmtId="0" fontId="0" fillId="13" borderId="13" xfId="0" applyFill="1" applyBorder="1"/>
    <xf numFmtId="0" fontId="4" fillId="3" borderId="14" xfId="2" applyFill="1" applyBorder="1"/>
    <xf numFmtId="0" fontId="4" fillId="4" borderId="14" xfId="2" applyFill="1" applyBorder="1"/>
    <xf numFmtId="9" fontId="4" fillId="4" borderId="14" xfId="1" applyFont="1" applyFill="1" applyBorder="1"/>
    <xf numFmtId="0" fontId="0" fillId="2" borderId="14" xfId="0" applyFill="1" applyBorder="1"/>
    <xf numFmtId="9" fontId="4" fillId="0" borderId="0" xfId="1" applyFont="1" applyFill="1" applyBorder="1"/>
    <xf numFmtId="0" fontId="0" fillId="0" borderId="5" xfId="0" applyFill="1" applyBorder="1"/>
    <xf numFmtId="0" fontId="4" fillId="0" borderId="3" xfId="3" applyFill="1" applyBorder="1"/>
    <xf numFmtId="9" fontId="4" fillId="0" borderId="5" xfId="1" applyFont="1" applyFill="1" applyBorder="1"/>
    <xf numFmtId="0" fontId="5" fillId="13" borderId="14" xfId="0" applyFont="1" applyFill="1" applyBorder="1"/>
    <xf numFmtId="0" fontId="8" fillId="3" borderId="14" xfId="4" applyFill="1" applyBorder="1"/>
    <xf numFmtId="0" fontId="4" fillId="2" borderId="14" xfId="2" applyFill="1" applyBorder="1"/>
    <xf numFmtId="0" fontId="5" fillId="0" borderId="1" xfId="0" applyFont="1" applyFill="1" applyBorder="1"/>
    <xf numFmtId="0" fontId="0" fillId="0" borderId="9" xfId="0" applyFill="1" applyBorder="1"/>
    <xf numFmtId="0" fontId="4" fillId="0" borderId="2" xfId="2" applyFill="1" applyBorder="1"/>
    <xf numFmtId="9" fontId="4" fillId="5" borderId="9" xfId="1" applyFont="1" applyFill="1" applyBorder="1"/>
    <xf numFmtId="0" fontId="0" fillId="0" borderId="14" xfId="0" applyBorder="1"/>
    <xf numFmtId="0" fontId="2" fillId="6" borderId="10" xfId="0" applyFont="1" applyFill="1" applyBorder="1"/>
    <xf numFmtId="0" fontId="2" fillId="6" borderId="13" xfId="0" applyFont="1" applyFill="1" applyBorder="1"/>
    <xf numFmtId="9" fontId="4" fillId="3" borderId="14" xfId="2" applyNumberFormat="1" applyFill="1" applyBorder="1"/>
    <xf numFmtId="9" fontId="6" fillId="3" borderId="2" xfId="2" applyNumberFormat="1" applyFont="1" applyFill="1" applyBorder="1"/>
    <xf numFmtId="9" fontId="6" fillId="4" borderId="2" xfId="1" applyFont="1" applyFill="1" applyBorder="1"/>
    <xf numFmtId="0" fontId="2" fillId="0" borderId="2" xfId="0" applyFont="1" applyFill="1" applyBorder="1"/>
    <xf numFmtId="0" fontId="6" fillId="5" borderId="1" xfId="3" applyFont="1" applyFill="1" applyBorder="1"/>
    <xf numFmtId="0" fontId="6" fillId="5" borderId="2" xfId="3" applyFont="1" applyFill="1" applyBorder="1"/>
    <xf numFmtId="9" fontId="6" fillId="5" borderId="2" xfId="1" applyFont="1" applyFill="1" applyBorder="1"/>
    <xf numFmtId="0" fontId="4" fillId="4" borderId="0" xfId="2" applyFont="1" applyFill="1"/>
    <xf numFmtId="9" fontId="5" fillId="4" borderId="0" xfId="1" applyFont="1" applyFill="1" applyBorder="1"/>
    <xf numFmtId="0" fontId="0" fillId="0" borderId="0" xfId="0" applyFont="1" applyFill="1" applyBorder="1"/>
    <xf numFmtId="9" fontId="1" fillId="0" borderId="0" xfId="1" applyFont="1" applyFill="1" applyBorder="1"/>
    <xf numFmtId="0" fontId="4" fillId="3" borderId="14" xfId="2" applyFont="1" applyFill="1" applyBorder="1"/>
    <xf numFmtId="9" fontId="1" fillId="3" borderId="14" xfId="1" applyFont="1" applyFill="1" applyBorder="1"/>
    <xf numFmtId="9" fontId="1" fillId="3" borderId="25" xfId="1" applyFont="1" applyFill="1" applyBorder="1"/>
    <xf numFmtId="9" fontId="4" fillId="5" borderId="15" xfId="1" applyFont="1" applyFill="1" applyBorder="1"/>
    <xf numFmtId="9" fontId="1" fillId="5" borderId="15" xfId="1" applyFont="1" applyFill="1" applyBorder="1"/>
    <xf numFmtId="0" fontId="0" fillId="5" borderId="13" xfId="0" applyFill="1" applyBorder="1"/>
    <xf numFmtId="9" fontId="1" fillId="5" borderId="25" xfId="1" applyFont="1" applyFill="1" applyBorder="1"/>
    <xf numFmtId="9" fontId="0" fillId="4" borderId="14" xfId="1" applyFont="1" applyFill="1" applyBorder="1"/>
    <xf numFmtId="0" fontId="2" fillId="6" borderId="3" xfId="0" applyFont="1" applyFill="1" applyBorder="1"/>
    <xf numFmtId="0" fontId="2" fillId="10" borderId="11" xfId="0" applyFont="1" applyFill="1" applyBorder="1"/>
    <xf numFmtId="0" fontId="2" fillId="5" borderId="10" xfId="0" applyFont="1" applyFill="1" applyBorder="1"/>
    <xf numFmtId="0" fontId="3" fillId="5" borderId="11" xfId="0" applyFont="1" applyFill="1" applyBorder="1"/>
    <xf numFmtId="0" fontId="0" fillId="5" borderId="11" xfId="0" applyFill="1" applyBorder="1"/>
    <xf numFmtId="0" fontId="4" fillId="3" borderId="10" xfId="2" applyFill="1" applyBorder="1"/>
    <xf numFmtId="0" fontId="4" fillId="3" borderId="13" xfId="2" applyFill="1" applyBorder="1"/>
    <xf numFmtId="0" fontId="4" fillId="6" borderId="2" xfId="2" applyFill="1" applyBorder="1"/>
    <xf numFmtId="0" fontId="2" fillId="3" borderId="11" xfId="0" applyFont="1" applyFill="1" applyBorder="1"/>
    <xf numFmtId="0" fontId="0" fillId="11" borderId="15" xfId="1" applyNumberFormat="1" applyFont="1" applyFill="1" applyBorder="1"/>
    <xf numFmtId="0" fontId="4" fillId="11" borderId="15" xfId="2" applyNumberFormat="1" applyFill="1" applyBorder="1"/>
    <xf numFmtId="10" fontId="2" fillId="3" borderId="24" xfId="0" applyNumberFormat="1" applyFont="1" applyFill="1" applyBorder="1"/>
    <xf numFmtId="10" fontId="2" fillId="3" borderId="23" xfId="1" applyNumberFormat="1" applyFont="1" applyFill="1" applyBorder="1" applyAlignment="1">
      <alignment horizontal="right"/>
    </xf>
    <xf numFmtId="9" fontId="0" fillId="3" borderId="15" xfId="1" applyFont="1" applyFill="1" applyBorder="1"/>
    <xf numFmtId="9" fontId="0" fillId="3" borderId="25" xfId="1" applyFont="1" applyFill="1" applyBorder="1"/>
    <xf numFmtId="9" fontId="0" fillId="5" borderId="5" xfId="1" applyFont="1" applyFill="1" applyBorder="1"/>
    <xf numFmtId="9" fontId="0" fillId="5" borderId="19" xfId="1" applyFont="1" applyFill="1" applyBorder="1"/>
    <xf numFmtId="9" fontId="4" fillId="3" borderId="5" xfId="2" applyNumberFormat="1" applyFill="1" applyBorder="1"/>
    <xf numFmtId="9" fontId="4" fillId="3" borderId="19" xfId="2" applyNumberFormat="1" applyFill="1" applyBorder="1"/>
    <xf numFmtId="9" fontId="6" fillId="3" borderId="9" xfId="2" applyNumberFormat="1" applyFont="1" applyFill="1" applyBorder="1"/>
    <xf numFmtId="9" fontId="2" fillId="3" borderId="19" xfId="0" applyNumberFormat="1" applyFont="1" applyFill="1" applyBorder="1"/>
    <xf numFmtId="9" fontId="4" fillId="3" borderId="11" xfId="2" applyNumberFormat="1" applyFill="1" applyBorder="1"/>
    <xf numFmtId="0" fontId="2" fillId="4" borderId="0" xfId="0" applyFont="1" applyFill="1" applyBorder="1" applyAlignment="1">
      <alignment horizontal="right"/>
    </xf>
    <xf numFmtId="0" fontId="2" fillId="5" borderId="3" xfId="0" applyFont="1" applyFill="1" applyBorder="1"/>
    <xf numFmtId="0" fontId="2" fillId="5" borderId="0" xfId="0" applyFont="1" applyFill="1" applyBorder="1" applyAlignment="1">
      <alignment horizontal="right"/>
    </xf>
    <xf numFmtId="9" fontId="2" fillId="5" borderId="0" xfId="1" applyFont="1" applyFill="1" applyBorder="1" applyAlignment="1">
      <alignment horizontal="right"/>
    </xf>
    <xf numFmtId="0" fontId="0" fillId="0" borderId="24" xfId="0" applyFill="1" applyBorder="1"/>
    <xf numFmtId="0" fontId="0" fillId="3" borderId="0" xfId="0" applyFont="1" applyFill="1" applyBorder="1"/>
    <xf numFmtId="0" fontId="0" fillId="3" borderId="0" xfId="0" applyFont="1" applyFill="1" applyBorder="1" applyAlignment="1">
      <alignment horizontal="right"/>
    </xf>
    <xf numFmtId="0" fontId="4" fillId="0" borderId="3" xfId="2" applyFill="1" applyBorder="1"/>
    <xf numFmtId="0" fontId="4" fillId="0" borderId="13" xfId="2" applyFill="1" applyBorder="1"/>
    <xf numFmtId="0" fontId="2" fillId="6" borderId="14" xfId="0" applyFont="1" applyFill="1" applyBorder="1"/>
    <xf numFmtId="0" fontId="0" fillId="3" borderId="20" xfId="0" applyFill="1" applyBorder="1"/>
    <xf numFmtId="0" fontId="0" fillId="4" borderId="4" xfId="0" applyFill="1" applyBorder="1"/>
    <xf numFmtId="0" fontId="2" fillId="10" borderId="27" xfId="0" applyFont="1" applyFill="1" applyBorder="1"/>
    <xf numFmtId="0" fontId="2" fillId="10" borderId="28" xfId="0" applyFont="1" applyFill="1" applyBorder="1"/>
    <xf numFmtId="0" fontId="0" fillId="10" borderId="2" xfId="0" applyFill="1" applyBorder="1"/>
    <xf numFmtId="0" fontId="0" fillId="10" borderId="4" xfId="0" applyFill="1" applyBorder="1"/>
    <xf numFmtId="0" fontId="2" fillId="14" borderId="26" xfId="0" applyFont="1" applyFill="1" applyBorder="1"/>
    <xf numFmtId="0" fontId="2" fillId="14" borderId="27" xfId="0" applyFont="1" applyFill="1" applyBorder="1"/>
    <xf numFmtId="0" fontId="2" fillId="14" borderId="28" xfId="0" applyFont="1" applyFill="1" applyBorder="1"/>
    <xf numFmtId="0" fontId="0" fillId="14" borderId="2" xfId="0" applyFill="1" applyBorder="1"/>
    <xf numFmtId="0" fontId="0" fillId="14" borderId="4" xfId="0" applyFill="1" applyBorder="1"/>
    <xf numFmtId="0" fontId="0" fillId="14" borderId="0" xfId="0" applyFill="1" applyBorder="1"/>
    <xf numFmtId="0" fontId="0" fillId="14" borderId="15" xfId="0" applyFill="1" applyBorder="1"/>
    <xf numFmtId="0" fontId="4" fillId="14" borderId="4" xfId="2" applyFill="1" applyBorder="1"/>
    <xf numFmtId="0" fontId="4" fillId="14" borderId="0" xfId="2" applyFill="1" applyBorder="1"/>
    <xf numFmtId="0" fontId="4" fillId="14" borderId="15" xfId="2" applyFill="1" applyBorder="1"/>
    <xf numFmtId="0" fontId="6" fillId="14" borderId="6" xfId="2" applyFont="1" applyFill="1" applyBorder="1"/>
    <xf numFmtId="0" fontId="6" fillId="14" borderId="7" xfId="2" applyFont="1" applyFill="1" applyBorder="1"/>
    <xf numFmtId="0" fontId="6" fillId="14" borderId="8" xfId="2" applyFont="1" applyFill="1" applyBorder="1"/>
    <xf numFmtId="0" fontId="2" fillId="14" borderId="22" xfId="0" applyFont="1" applyFill="1" applyBorder="1"/>
    <xf numFmtId="0" fontId="2" fillId="14" borderId="2" xfId="0" applyFont="1" applyFill="1" applyBorder="1" applyAlignment="1">
      <alignment horizontal="right"/>
    </xf>
    <xf numFmtId="0" fontId="2" fillId="14" borderId="23" xfId="0" applyFont="1" applyFill="1" applyBorder="1"/>
    <xf numFmtId="0" fontId="0" fillId="14" borderId="14" xfId="0" applyFill="1" applyBorder="1"/>
    <xf numFmtId="0" fontId="4" fillId="14" borderId="0" xfId="3" applyFill="1" applyBorder="1"/>
    <xf numFmtId="0" fontId="4" fillId="14" borderId="4" xfId="3" applyFill="1" applyBorder="1"/>
    <xf numFmtId="0" fontId="4" fillId="14" borderId="15" xfId="3" applyFill="1" applyBorder="1"/>
    <xf numFmtId="0" fontId="6" fillId="14" borderId="29" xfId="2" applyFont="1" applyFill="1" applyBorder="1"/>
    <xf numFmtId="0" fontId="6" fillId="14" borderId="30" xfId="2" applyFont="1" applyFill="1" applyBorder="1"/>
    <xf numFmtId="0" fontId="6" fillId="14" borderId="31" xfId="2" applyFont="1" applyFill="1" applyBorder="1"/>
    <xf numFmtId="0" fontId="6" fillId="14" borderId="26" xfId="2" applyFont="1" applyFill="1" applyBorder="1"/>
    <xf numFmtId="0" fontId="6" fillId="14" borderId="27" xfId="2" applyFont="1" applyFill="1" applyBorder="1"/>
    <xf numFmtId="0" fontId="6" fillId="14" borderId="28" xfId="2" applyFont="1" applyFill="1" applyBorder="1"/>
    <xf numFmtId="0" fontId="6" fillId="14" borderId="32" xfId="2" applyFont="1" applyFill="1" applyBorder="1"/>
    <xf numFmtId="0" fontId="6" fillId="14" borderId="33" xfId="2" applyFont="1" applyFill="1" applyBorder="1"/>
    <xf numFmtId="0" fontId="6" fillId="14" borderId="34" xfId="2" applyFont="1" applyFill="1" applyBorder="1"/>
    <xf numFmtId="0" fontId="2" fillId="14" borderId="0" xfId="0" applyFont="1" applyFill="1" applyBorder="1"/>
    <xf numFmtId="0" fontId="6" fillId="10" borderId="26" xfId="2" applyFont="1" applyFill="1" applyBorder="1"/>
    <xf numFmtId="0" fontId="6" fillId="10" borderId="27" xfId="2" applyFont="1" applyFill="1" applyBorder="1"/>
    <xf numFmtId="0" fontId="6" fillId="10" borderId="28" xfId="2" applyFont="1" applyFill="1" applyBorder="1"/>
    <xf numFmtId="0" fontId="6" fillId="4" borderId="32" xfId="2" applyFont="1" applyFill="1" applyBorder="1"/>
    <xf numFmtId="0" fontId="6" fillId="4" borderId="33" xfId="2" applyFont="1" applyFill="1" applyBorder="1"/>
    <xf numFmtId="0" fontId="6" fillId="4" borderId="34" xfId="2" applyFont="1" applyFill="1" applyBorder="1"/>
    <xf numFmtId="9" fontId="4" fillId="0" borderId="15" xfId="1" applyFont="1" applyFill="1" applyBorder="1"/>
    <xf numFmtId="0" fontId="2" fillId="10" borderId="28" xfId="1" applyNumberFormat="1" applyFont="1" applyFill="1" applyBorder="1"/>
    <xf numFmtId="0" fontId="2" fillId="4" borderId="33" xfId="0" applyFont="1" applyFill="1" applyBorder="1"/>
    <xf numFmtId="0" fontId="0" fillId="4" borderId="33" xfId="0" applyFill="1" applyBorder="1"/>
    <xf numFmtId="0" fontId="2" fillId="4" borderId="34" xfId="1" applyNumberFormat="1" applyFont="1" applyFill="1" applyBorder="1" applyAlignment="1">
      <alignment horizontal="right"/>
    </xf>
    <xf numFmtId="0" fontId="2" fillId="4" borderId="34" xfId="0" applyFont="1" applyFill="1" applyBorder="1"/>
    <xf numFmtId="0" fontId="4" fillId="15" borderId="4" xfId="2" applyFill="1" applyBorder="1"/>
    <xf numFmtId="0" fontId="4" fillId="15" borderId="0" xfId="2" applyFill="1" applyBorder="1"/>
    <xf numFmtId="0" fontId="4" fillId="15" borderId="15" xfId="2" applyFill="1" applyBorder="1"/>
    <xf numFmtId="0" fontId="0" fillId="16" borderId="12" xfId="0" applyFill="1" applyBorder="1"/>
    <xf numFmtId="0" fontId="4" fillId="16" borderId="0" xfId="2" applyFill="1" applyBorder="1"/>
    <xf numFmtId="0" fontId="6" fillId="16" borderId="2" xfId="2" applyFont="1" applyFill="1" applyBorder="1"/>
    <xf numFmtId="0" fontId="0" fillId="3" borderId="12" xfId="0" applyFill="1" applyBorder="1"/>
    <xf numFmtId="0" fontId="0" fillId="10" borderId="12" xfId="0" applyFill="1" applyBorder="1"/>
    <xf numFmtId="0" fontId="2" fillId="16" borderId="12" xfId="0" applyFont="1" applyFill="1" applyBorder="1"/>
    <xf numFmtId="0" fontId="2" fillId="16" borderId="2" xfId="0" applyFont="1" applyFill="1" applyBorder="1"/>
    <xf numFmtId="0" fontId="2" fillId="16" borderId="2" xfId="0" applyFont="1" applyFill="1" applyBorder="1" applyAlignment="1">
      <alignment horizontal="center"/>
    </xf>
    <xf numFmtId="0" fontId="0" fillId="16" borderId="10" xfId="0" applyFill="1" applyBorder="1"/>
    <xf numFmtId="0" fontId="0" fillId="16" borderId="11" xfId="0" applyFill="1" applyBorder="1"/>
    <xf numFmtId="0" fontId="4" fillId="16" borderId="3" xfId="2" applyFill="1" applyBorder="1"/>
    <xf numFmtId="0" fontId="4" fillId="16" borderId="5" xfId="2" applyFill="1" applyBorder="1"/>
    <xf numFmtId="0" fontId="6" fillId="16" borderId="1" xfId="2" applyFont="1" applyFill="1" applyBorder="1"/>
    <xf numFmtId="0" fontId="2" fillId="16" borderId="1" xfId="0" applyFont="1" applyFill="1" applyBorder="1"/>
    <xf numFmtId="0" fontId="2" fillId="16" borderId="2" xfId="0" applyFont="1" applyFill="1" applyBorder="1" applyAlignment="1">
      <alignment horizontal="right"/>
    </xf>
    <xf numFmtId="9" fontId="2" fillId="16" borderId="9" xfId="1" applyFont="1" applyFill="1" applyBorder="1" applyAlignment="1">
      <alignment horizontal="right"/>
    </xf>
    <xf numFmtId="0" fontId="4" fillId="16" borderId="13" xfId="2" applyFill="1" applyBorder="1"/>
    <xf numFmtId="0" fontId="4" fillId="16" borderId="14" xfId="2" applyFill="1" applyBorder="1"/>
    <xf numFmtId="0" fontId="4" fillId="16" borderId="19" xfId="2" applyFill="1" applyBorder="1"/>
    <xf numFmtId="0" fontId="2" fillId="16" borderId="13" xfId="0" applyFont="1" applyFill="1" applyBorder="1"/>
    <xf numFmtId="0" fontId="2" fillId="16" borderId="14" xfId="0" applyFont="1" applyFill="1" applyBorder="1"/>
    <xf numFmtId="9" fontId="6" fillId="14" borderId="7" xfId="2" applyNumberFormat="1" applyFont="1" applyFill="1" applyBorder="1"/>
    <xf numFmtId="0" fontId="2" fillId="14" borderId="2" xfId="0" applyFont="1" applyFill="1" applyBorder="1"/>
    <xf numFmtId="9" fontId="2" fillId="14" borderId="2" xfId="0" applyNumberFormat="1" applyFont="1" applyFill="1" applyBorder="1"/>
    <xf numFmtId="0" fontId="4" fillId="0" borderId="3" xfId="2" applyFont="1" applyFill="1" applyBorder="1"/>
    <xf numFmtId="0" fontId="0" fillId="14" borderId="4" xfId="0" applyFont="1" applyFill="1" applyBorder="1"/>
    <xf numFmtId="0" fontId="0" fillId="14" borderId="0" xfId="0" applyFont="1" applyFill="1" applyBorder="1" applyAlignment="1">
      <alignment horizontal="right"/>
    </xf>
    <xf numFmtId="9" fontId="6" fillId="14" borderId="30" xfId="2" applyNumberFormat="1" applyFont="1" applyFill="1" applyBorder="1"/>
    <xf numFmtId="0" fontId="0" fillId="10" borderId="35" xfId="0" applyFill="1" applyBorder="1"/>
    <xf numFmtId="0" fontId="0" fillId="6" borderId="14" xfId="0" applyFill="1" applyBorder="1"/>
    <xf numFmtId="0" fontId="0" fillId="10" borderId="36" xfId="0" applyFill="1" applyBorder="1"/>
    <xf numFmtId="0" fontId="2" fillId="6" borderId="25" xfId="0" applyFont="1" applyFill="1" applyBorder="1"/>
    <xf numFmtId="0" fontId="6" fillId="6" borderId="14" xfId="2" applyFont="1" applyFill="1" applyBorder="1"/>
    <xf numFmtId="0" fontId="2" fillId="6" borderId="19" xfId="0" applyFont="1" applyFill="1" applyBorder="1"/>
    <xf numFmtId="0" fontId="2" fillId="6" borderId="36" xfId="0" applyFont="1" applyFill="1" applyBorder="1"/>
    <xf numFmtId="0" fontId="6" fillId="14" borderId="35" xfId="2" applyFont="1" applyFill="1" applyBorder="1"/>
    <xf numFmtId="0" fontId="6" fillId="14" borderId="12" xfId="2" applyFont="1" applyFill="1" applyBorder="1"/>
    <xf numFmtId="0" fontId="6" fillId="14" borderId="24" xfId="2" applyFont="1" applyFill="1" applyBorder="1"/>
    <xf numFmtId="0" fontId="6" fillId="14" borderId="36" xfId="2" applyFont="1" applyFill="1" applyBorder="1"/>
    <xf numFmtId="0" fontId="6" fillId="14" borderId="14" xfId="2" applyFont="1" applyFill="1" applyBorder="1"/>
    <xf numFmtId="0" fontId="6" fillId="14" borderId="25" xfId="2" applyFont="1" applyFill="1" applyBorder="1"/>
    <xf numFmtId="0" fontId="6" fillId="6" borderId="12" xfId="2" applyFont="1" applyFill="1" applyBorder="1"/>
    <xf numFmtId="9" fontId="6" fillId="14" borderId="33" xfId="2" applyNumberFormat="1" applyFont="1" applyFill="1" applyBorder="1"/>
    <xf numFmtId="9" fontId="6" fillId="14" borderId="27" xfId="2" applyNumberFormat="1" applyFont="1" applyFill="1" applyBorder="1"/>
    <xf numFmtId="0" fontId="4" fillId="6" borderId="11" xfId="2" applyFill="1" applyBorder="1"/>
    <xf numFmtId="0" fontId="2" fillId="14" borderId="35" xfId="0" applyFont="1" applyFill="1" applyBorder="1"/>
    <xf numFmtId="0" fontId="2" fillId="14" borderId="12" xfId="0" applyFont="1" applyFill="1" applyBorder="1"/>
    <xf numFmtId="9" fontId="2" fillId="14" borderId="12" xfId="0" applyNumberFormat="1" applyFont="1" applyFill="1" applyBorder="1"/>
    <xf numFmtId="0" fontId="2" fillId="14" borderId="24" xfId="0" applyFont="1" applyFill="1" applyBorder="1"/>
    <xf numFmtId="0" fontId="6" fillId="3" borderId="12" xfId="2" applyFont="1" applyFill="1" applyBorder="1"/>
    <xf numFmtId="9" fontId="6" fillId="3" borderId="12" xfId="2" applyNumberFormat="1" applyFont="1" applyFill="1" applyBorder="1"/>
    <xf numFmtId="0" fontId="6" fillId="2" borderId="12" xfId="2" applyFont="1" applyFill="1" applyBorder="1"/>
    <xf numFmtId="0" fontId="6" fillId="4" borderId="12" xfId="2" applyFont="1" applyFill="1" applyBorder="1"/>
    <xf numFmtId="9" fontId="6" fillId="4" borderId="12" xfId="1" applyFont="1" applyFill="1" applyBorder="1"/>
    <xf numFmtId="0" fontId="6" fillId="5" borderId="12" xfId="2" applyFont="1" applyFill="1" applyBorder="1"/>
    <xf numFmtId="0" fontId="6" fillId="5" borderId="12" xfId="3" applyFont="1" applyFill="1" applyBorder="1"/>
    <xf numFmtId="9" fontId="6" fillId="5" borderId="11" xfId="1" applyFont="1" applyFill="1" applyBorder="1"/>
    <xf numFmtId="0" fontId="2" fillId="14" borderId="36" xfId="0" applyFont="1" applyFill="1" applyBorder="1"/>
    <xf numFmtId="0" fontId="2" fillId="14" borderId="14" xfId="0" applyFont="1" applyFill="1" applyBorder="1"/>
    <xf numFmtId="9" fontId="2" fillId="14" borderId="14" xfId="0" applyNumberFormat="1" applyFont="1" applyFill="1" applyBorder="1"/>
    <xf numFmtId="0" fontId="2" fillId="14" borderId="25" xfId="0" applyFont="1" applyFill="1" applyBorder="1"/>
    <xf numFmtId="0" fontId="6" fillId="3" borderId="14" xfId="2" applyFont="1" applyFill="1" applyBorder="1"/>
    <xf numFmtId="9" fontId="6" fillId="3" borderId="14" xfId="1" applyFont="1" applyFill="1" applyBorder="1"/>
    <xf numFmtId="9" fontId="6" fillId="2" borderId="14" xfId="1" applyFont="1" applyFill="1" applyBorder="1"/>
    <xf numFmtId="0" fontId="6" fillId="4" borderId="14" xfId="2" applyFont="1" applyFill="1" applyBorder="1"/>
    <xf numFmtId="9" fontId="6" fillId="4" borderId="14" xfId="1" applyFont="1" applyFill="1" applyBorder="1"/>
    <xf numFmtId="0" fontId="6" fillId="5" borderId="13" xfId="3" applyFont="1" applyFill="1" applyBorder="1"/>
    <xf numFmtId="0" fontId="6" fillId="5" borderId="14" xfId="3" applyFont="1" applyFill="1" applyBorder="1"/>
    <xf numFmtId="9" fontId="6" fillId="5" borderId="19" xfId="1" applyFont="1" applyFill="1" applyBorder="1"/>
    <xf numFmtId="9" fontId="6" fillId="14" borderId="12" xfId="2" applyNumberFormat="1" applyFont="1" applyFill="1" applyBorder="1"/>
    <xf numFmtId="9" fontId="6" fillId="14" borderId="14" xfId="2" applyNumberFormat="1" applyFont="1" applyFill="1" applyBorder="1"/>
    <xf numFmtId="9" fontId="1" fillId="5" borderId="0" xfId="1" applyFont="1" applyFill="1" applyBorder="1"/>
    <xf numFmtId="0" fontId="0" fillId="6" borderId="1" xfId="0" applyFont="1" applyFill="1" applyBorder="1"/>
    <xf numFmtId="0" fontId="0" fillId="0" borderId="2" xfId="0" applyBorder="1"/>
    <xf numFmtId="0" fontId="0" fillId="4" borderId="0" xfId="0" applyFont="1" applyFill="1" applyBorder="1"/>
    <xf numFmtId="0" fontId="0" fillId="5" borderId="0" xfId="0" applyFont="1" applyFill="1" applyBorder="1"/>
    <xf numFmtId="0" fontId="4" fillId="12" borderId="15" xfId="2" applyFill="1" applyBorder="1"/>
    <xf numFmtId="0" fontId="4" fillId="7" borderId="15" xfId="2" applyFill="1" applyBorder="1"/>
    <xf numFmtId="0" fontId="9" fillId="0" borderId="0" xfId="0" applyFont="1"/>
    <xf numFmtId="0" fontId="0" fillId="3" borderId="3" xfId="0" applyFont="1" applyFill="1" applyBorder="1"/>
    <xf numFmtId="9" fontId="1" fillId="3" borderId="5" xfId="1" applyFont="1" applyFill="1" applyBorder="1" applyAlignment="1">
      <alignment horizontal="right"/>
    </xf>
    <xf numFmtId="0" fontId="8" fillId="3" borderId="3" xfId="4" applyFill="1" applyBorder="1"/>
    <xf numFmtId="9" fontId="2" fillId="3" borderId="5" xfId="1" applyFont="1" applyFill="1" applyBorder="1" applyAlignment="1">
      <alignment horizontal="right"/>
    </xf>
    <xf numFmtId="9" fontId="4" fillId="3" borderId="5" xfId="1" applyFont="1" applyFill="1" applyBorder="1"/>
    <xf numFmtId="0" fontId="4" fillId="3" borderId="5" xfId="2" applyFill="1" applyBorder="1"/>
    <xf numFmtId="0" fontId="8" fillId="3" borderId="13" xfId="4" applyFill="1" applyBorder="1"/>
    <xf numFmtId="0" fontId="4" fillId="3" borderId="19" xfId="2" applyFill="1" applyBorder="1"/>
    <xf numFmtId="0" fontId="6" fillId="3" borderId="1" xfId="4" applyFont="1" applyFill="1" applyBorder="1"/>
    <xf numFmtId="0" fontId="4" fillId="3" borderId="9" xfId="2" applyFill="1" applyBorder="1"/>
    <xf numFmtId="9" fontId="6" fillId="16" borderId="2" xfId="2" applyNumberFormat="1" applyFont="1" applyFill="1" applyBorder="1"/>
    <xf numFmtId="9" fontId="2" fillId="3" borderId="23" xfId="1" applyFont="1" applyFill="1" applyBorder="1"/>
    <xf numFmtId="9" fontId="6" fillId="16" borderId="9" xfId="2" applyNumberFormat="1" applyFont="1" applyFill="1" applyBorder="1"/>
    <xf numFmtId="9" fontId="2" fillId="16" borderId="19" xfId="0" applyNumberFormat="1" applyFont="1" applyFill="1" applyBorder="1"/>
    <xf numFmtId="0" fontId="2" fillId="10" borderId="6" xfId="0" applyFont="1" applyFill="1" applyBorder="1"/>
  </cellXfs>
  <cellStyles count="5">
    <cellStyle name="Normal" xfId="0" builtinId="0"/>
    <cellStyle name="Normal 2" xfId="2"/>
    <cellStyle name="Normal 3" xfId="3"/>
    <cellStyle name="Normal 4" xfId="4"/>
    <cellStyle name="Percent" xfId="1" builtinId="5"/>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20</xdr:col>
      <xdr:colOff>514350</xdr:colOff>
      <xdr:row>13</xdr:row>
      <xdr:rowOff>0</xdr:rowOff>
    </xdr:from>
    <xdr:ext cx="5410200" cy="264560"/>
    <xdr:sp macro="" textlink="">
      <xdr:nvSpPr>
        <xdr:cNvPr id="5" name="TextBox 4"/>
        <xdr:cNvSpPr txBox="1"/>
      </xdr:nvSpPr>
      <xdr:spPr>
        <a:xfrm>
          <a:off x="9696450" y="2628899"/>
          <a:ext cx="54102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nb-NO" sz="1100"/>
        </a:p>
      </xdr:txBody>
    </xdr:sp>
    <xdr:clientData/>
  </xdr:oneCellAnchor>
  <xdr:twoCellAnchor>
    <xdr:from>
      <xdr:col>21</xdr:col>
      <xdr:colOff>19050</xdr:colOff>
      <xdr:row>4</xdr:row>
      <xdr:rowOff>19051</xdr:rowOff>
    </xdr:from>
    <xdr:to>
      <xdr:col>29</xdr:col>
      <xdr:colOff>304800</xdr:colOff>
      <xdr:row>19</xdr:row>
      <xdr:rowOff>180975</xdr:rowOff>
    </xdr:to>
    <xdr:sp macro="" textlink="">
      <xdr:nvSpPr>
        <xdr:cNvPr id="6" name="TextBox 5"/>
        <xdr:cNvSpPr txBox="1"/>
      </xdr:nvSpPr>
      <xdr:spPr>
        <a:xfrm>
          <a:off x="12068175" y="809626"/>
          <a:ext cx="5162550" cy="301942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Studieår:</a:t>
          </a:r>
          <a:r>
            <a:rPr lang="nb-NO" sz="1100" b="1" baseline="0"/>
            <a:t> </a:t>
          </a:r>
          <a:r>
            <a:rPr lang="nb-NO" sz="1100" b="0"/>
            <a:t>På studieårene var det høsten 2022 en nedgang </a:t>
          </a:r>
          <a:r>
            <a:rPr lang="nb-NO" sz="1100" b="0" baseline="0"/>
            <a:t>av antall kandidater som møtte til eksamen sammenlignet med foregående år. </a:t>
          </a:r>
        </a:p>
        <a:p>
          <a:endParaRPr lang="nb-NO" sz="1100" b="1" baseline="0"/>
        </a:p>
        <a:p>
          <a:r>
            <a:rPr lang="nb-NO" sz="1100" b="1" baseline="0"/>
            <a:t>Gjentak: </a:t>
          </a:r>
          <a:r>
            <a:rPr lang="nb-NO" sz="1100" b="0" baseline="0"/>
            <a:t>Det er fortsatt mest gjentak på JUS4211 og en økning siden de foregående årene. </a:t>
          </a:r>
        </a:p>
        <a:p>
          <a:endParaRPr lang="nb-NO" sz="1100" b="0" baseline="0"/>
        </a:p>
        <a:p>
          <a:r>
            <a:rPr lang="nb-NO" sz="1100" b="0" baseline="0"/>
            <a:t>På 3. studieår har det vært særlig høyt gjentak pga overgangsordning ifm. omorganiseringen. JUS3111 har tidligere hatt nokså høye gjentakstall. Gjentakstallene på JUS3112 er fortsatt blant de høyeste. JUS3212 har hatt varierende andel gjentak, men ved første mulighet for gjentak, atså høsten 2022 var andelen lav. </a:t>
          </a:r>
        </a:p>
        <a:p>
          <a:endParaRPr lang="nb-NO" sz="1100" b="0" baseline="0"/>
        </a:p>
        <a:p>
          <a:r>
            <a:rPr lang="nb-NO" sz="1100" b="0" baseline="0"/>
            <a:t>På 2. studieår er det en liten nedgang i andelen gjentak høsten 2022, men tallene er fortsatt blant de høyeste. </a:t>
          </a:r>
        </a:p>
        <a:p>
          <a:endParaRPr lang="nb-NO" sz="1100" b="0" baseline="0"/>
        </a:p>
        <a:p>
          <a:r>
            <a:rPr lang="nb-NO" sz="1100" b="1" baseline="0"/>
            <a:t>Valgemner: </a:t>
          </a:r>
          <a:r>
            <a:rPr lang="nb-NO" sz="1100" b="0" baseline="0"/>
            <a:t>Det er generelt en liten økning i det totale antallet møtte på valgemner høsten 2022 sammenlignet med høsten 2021.</a:t>
          </a:r>
          <a:endParaRPr lang="nb-NO" sz="1100" b="0"/>
        </a:p>
      </xdr:txBody>
    </xdr:sp>
    <xdr:clientData/>
  </xdr:twoCellAnchor>
  <xdr:twoCellAnchor>
    <xdr:from>
      <xdr:col>21</xdr:col>
      <xdr:colOff>38100</xdr:colOff>
      <xdr:row>27</xdr:row>
      <xdr:rowOff>0</xdr:rowOff>
    </xdr:from>
    <xdr:to>
      <xdr:col>29</xdr:col>
      <xdr:colOff>361950</xdr:colOff>
      <xdr:row>37</xdr:row>
      <xdr:rowOff>171450</xdr:rowOff>
    </xdr:to>
    <xdr:sp macro="" textlink="">
      <xdr:nvSpPr>
        <xdr:cNvPr id="7" name="TextBox 6"/>
        <xdr:cNvSpPr txBox="1"/>
      </xdr:nvSpPr>
      <xdr:spPr>
        <a:xfrm>
          <a:off x="12087225" y="5210175"/>
          <a:ext cx="5200650" cy="20859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Valgemner ba-nivå: </a:t>
          </a:r>
          <a:r>
            <a:rPr lang="nb-NO" sz="1100" b="0"/>
            <a:t>Det er nedgang</a:t>
          </a:r>
          <a:r>
            <a:rPr lang="nb-NO" sz="1100" b="0" baseline="0"/>
            <a:t> i antall møtte kandidater på valgemner på ba-nivå sammenlignet med høsten før, men sammenlignet med to semestre før der igjen er tallet høyere. </a:t>
          </a:r>
        </a:p>
        <a:p>
          <a:endParaRPr lang="nb-NO" sz="1100" b="0" baseline="0"/>
        </a:p>
        <a:p>
          <a:r>
            <a:rPr lang="nb-NO" sz="1100" b="1" baseline="0"/>
            <a:t>Engelske valgemner ba:  </a:t>
          </a:r>
          <a:r>
            <a:rPr lang="nb-NO" sz="1100" b="0" baseline="0"/>
            <a:t>det har vært en økning av møtte kandidater høsten 2022 sammenlignet med foregående år</a:t>
          </a:r>
        </a:p>
        <a:p>
          <a:endParaRPr lang="nb-NO" sz="1100" b="1" baseline="0"/>
        </a:p>
        <a:p>
          <a:r>
            <a:rPr lang="nb-NO" sz="1100" b="1" baseline="0"/>
            <a:t>Norske valgemner ba: </a:t>
          </a:r>
          <a:r>
            <a:rPr lang="nb-NO" sz="1100" b="0" baseline="0"/>
            <a:t>det har vært en nedgang på antall møtte kandidater høsten 2022 </a:t>
          </a:r>
          <a:r>
            <a:rPr lang="nb-NO" sz="1100" b="0" baseline="0">
              <a:solidFill>
                <a:schemeClr val="dk1"/>
              </a:solidFill>
              <a:effectLst/>
              <a:latin typeface="+mn-lt"/>
              <a:ea typeface="+mn-ea"/>
              <a:cs typeface="+mn-cs"/>
            </a:rPr>
            <a:t>sammenlignet med foregående år</a:t>
          </a:r>
          <a:endParaRPr lang="nb-NO">
            <a:effectLst/>
          </a:endParaRPr>
        </a:p>
      </xdr:txBody>
    </xdr:sp>
    <xdr:clientData/>
  </xdr:twoCellAnchor>
  <xdr:twoCellAnchor>
    <xdr:from>
      <xdr:col>21</xdr:col>
      <xdr:colOff>19050</xdr:colOff>
      <xdr:row>48</xdr:row>
      <xdr:rowOff>9524</xdr:rowOff>
    </xdr:from>
    <xdr:to>
      <xdr:col>30</xdr:col>
      <xdr:colOff>228600</xdr:colOff>
      <xdr:row>60</xdr:row>
      <xdr:rowOff>190499</xdr:rowOff>
    </xdr:to>
    <xdr:sp macro="" textlink="">
      <xdr:nvSpPr>
        <xdr:cNvPr id="8" name="TextBox 7"/>
        <xdr:cNvSpPr txBox="1"/>
      </xdr:nvSpPr>
      <xdr:spPr>
        <a:xfrm>
          <a:off x="12068175" y="9286874"/>
          <a:ext cx="5695950" cy="24669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Valgemner ma-nivå</a:t>
          </a:r>
          <a:r>
            <a:rPr lang="nb-NO" sz="1100" b="1" baseline="0"/>
            <a:t>: </a:t>
          </a:r>
          <a:r>
            <a:rPr lang="nb-NO" sz="1100" b="0" baseline="0"/>
            <a:t>Det har vært en økning i antall møtte kandidater høsten 2022 sammenlignet med høsten 2021, men tallene varierer fra semester til semester</a:t>
          </a:r>
        </a:p>
        <a:p>
          <a:endParaRPr lang="nb-NO" sz="1100" b="0" baseline="0"/>
        </a:p>
        <a:p>
          <a:r>
            <a:rPr lang="nb-NO" sz="1100" b="1" baseline="0"/>
            <a:t>Norske valgemner ma: </a:t>
          </a:r>
          <a:r>
            <a:rPr lang="nb-NO" sz="1100" b="0" baseline="0"/>
            <a:t>det er like mange kandidater som har møtt høsten 2022 sammenlignet med høsten før</a:t>
          </a:r>
          <a:endParaRPr lang="nb-NO" sz="1100" b="1" baseline="0"/>
        </a:p>
        <a:p>
          <a:endParaRPr lang="nb-NO" sz="1100" b="1" baseline="0"/>
        </a:p>
        <a:p>
          <a:pPr marL="0" marR="0" lvl="0" indent="0" defTabSz="914400" eaLnBrk="1" fontAlgn="auto" latinLnBrk="0" hangingPunct="1">
            <a:lnSpc>
              <a:spcPct val="100000"/>
            </a:lnSpc>
            <a:spcBef>
              <a:spcPts val="0"/>
            </a:spcBef>
            <a:spcAft>
              <a:spcPts val="0"/>
            </a:spcAft>
            <a:buClrTx/>
            <a:buSzTx/>
            <a:buFontTx/>
            <a:buNone/>
            <a:tabLst/>
            <a:defRPr/>
          </a:pPr>
          <a:r>
            <a:rPr lang="nb-NO" sz="1100" b="1" baseline="0"/>
            <a:t>Engelske valgemner ma: </a:t>
          </a:r>
          <a:r>
            <a:rPr lang="nb-NO" sz="1100" b="0" baseline="0"/>
            <a:t>det er en økning i</a:t>
          </a:r>
          <a:r>
            <a:rPr lang="nb-NO" sz="1100" b="0" baseline="0">
              <a:solidFill>
                <a:schemeClr val="dk1"/>
              </a:solidFill>
              <a:effectLst/>
              <a:latin typeface="+mn-lt"/>
              <a:ea typeface="+mn-ea"/>
              <a:cs typeface="+mn-cs"/>
            </a:rPr>
            <a:t>kandidater som har møtt høsten 2022 sammenlignet med høsten før</a:t>
          </a:r>
          <a:endParaRPr lang="nb-NO">
            <a:effectLst/>
          </a:endParaRPr>
        </a:p>
        <a:p>
          <a:r>
            <a:rPr lang="nb-NO" sz="1100" b="1" baseline="0"/>
            <a:t> </a:t>
          </a:r>
          <a:endParaRPr lang="nb-NO" sz="1100" b="0" baseline="0"/>
        </a:p>
        <a:p>
          <a:r>
            <a:rPr lang="nb-NO" sz="1100" b="0" baseline="0"/>
            <a:t>Noen emner legges ned, noen emner går annethvert år og noen emner bytter semester, dette kan påvirke tallene.</a:t>
          </a:r>
        </a:p>
        <a:p>
          <a:endParaRPr lang="nb-NO" sz="1100" b="1"/>
        </a:p>
      </xdr:txBody>
    </xdr:sp>
    <xdr:clientData/>
  </xdr:twoCellAnchor>
  <xdr:twoCellAnchor>
    <xdr:from>
      <xdr:col>19</xdr:col>
      <xdr:colOff>600075</xdr:colOff>
      <xdr:row>77</xdr:row>
      <xdr:rowOff>9526</xdr:rowOff>
    </xdr:from>
    <xdr:to>
      <xdr:col>29</xdr:col>
      <xdr:colOff>381000</xdr:colOff>
      <xdr:row>81</xdr:row>
      <xdr:rowOff>123826</xdr:rowOff>
    </xdr:to>
    <xdr:sp macro="" textlink="">
      <xdr:nvSpPr>
        <xdr:cNvPr id="2" name="TextBox 1"/>
        <xdr:cNvSpPr txBox="1"/>
      </xdr:nvSpPr>
      <xdr:spPr>
        <a:xfrm>
          <a:off x="11430000" y="14859001"/>
          <a:ext cx="5876925" cy="8953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i="0" u="none" strike="noStrike">
              <a:solidFill>
                <a:schemeClr val="dk1"/>
              </a:solidFill>
              <a:effectLst/>
              <a:latin typeface="+mn-lt"/>
              <a:ea typeface="+mn-ea"/>
              <a:cs typeface="+mn-cs"/>
            </a:rPr>
            <a:t>Høsten 2022 var det langt færre kandidater totalt sett på rettsstudiet sammenlignet med høsten 2021 og høsten 2020,</a:t>
          </a:r>
          <a:r>
            <a:rPr lang="nb-NO" sz="1100" b="1" i="0" u="none" strike="noStrike" baseline="0">
              <a:solidFill>
                <a:schemeClr val="dk1"/>
              </a:solidFill>
              <a:effectLst/>
              <a:latin typeface="+mn-lt"/>
              <a:ea typeface="+mn-ea"/>
              <a:cs typeface="+mn-cs"/>
            </a:rPr>
            <a:t> men likt som høsten 2019.</a:t>
          </a:r>
          <a:r>
            <a:rPr lang="nb-NO" sz="1100" b="1" i="0" u="none" strike="noStrike">
              <a:solidFill>
                <a:schemeClr val="dk1"/>
              </a:solidFill>
              <a:effectLst/>
              <a:latin typeface="+mn-lt"/>
              <a:ea typeface="+mn-ea"/>
              <a:cs typeface="+mn-cs"/>
            </a:rPr>
            <a:t> </a:t>
          </a:r>
          <a:r>
            <a:rPr lang="nb-NO"/>
            <a:t> </a:t>
          </a:r>
        </a:p>
        <a:p>
          <a:endParaRPr lang="nb-NO"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3"/>
  <sheetViews>
    <sheetView tabSelected="1" topLeftCell="A53" zoomScaleNormal="100" workbookViewId="0">
      <selection activeCell="T89" sqref="T89"/>
    </sheetView>
  </sheetViews>
  <sheetFormatPr defaultRowHeight="15"/>
  <cols>
    <col min="2" max="2" width="18" customWidth="1"/>
    <col min="3" max="3" width="9.5703125" customWidth="1"/>
    <col min="4" max="4" width="8.140625" customWidth="1"/>
    <col min="5" max="5" width="7.5703125" customWidth="1"/>
    <col min="6" max="6" width="8.5703125" customWidth="1"/>
    <col min="11" max="11" width="0.42578125" customWidth="1"/>
    <col min="16" max="16" width="0.42578125" customWidth="1"/>
  </cols>
  <sheetData>
    <row r="1" spans="1:20">
      <c r="A1" s="1" t="s">
        <v>0</v>
      </c>
      <c r="K1" s="2"/>
    </row>
    <row r="2" spans="1:20" ht="15.75" thickBot="1">
      <c r="K2" s="3"/>
    </row>
    <row r="3" spans="1:20" ht="15.75" thickBot="1">
      <c r="A3" s="4" t="s">
        <v>1</v>
      </c>
      <c r="B3" s="4" t="s">
        <v>2</v>
      </c>
      <c r="C3" s="319"/>
      <c r="D3" s="320" t="s">
        <v>189</v>
      </c>
      <c r="E3" s="320"/>
      <c r="F3" s="321"/>
      <c r="G3" s="313"/>
      <c r="H3" s="220" t="s">
        <v>52</v>
      </c>
      <c r="I3" s="221"/>
      <c r="J3" s="222"/>
      <c r="K3" s="7"/>
      <c r="L3" s="8"/>
      <c r="M3" s="9" t="s">
        <v>53</v>
      </c>
      <c r="N3" s="10"/>
      <c r="O3" s="10"/>
      <c r="P3" s="11"/>
      <c r="Q3" s="12"/>
      <c r="R3" s="13" t="s">
        <v>54</v>
      </c>
      <c r="S3" s="14"/>
      <c r="T3" s="115"/>
    </row>
    <row r="4" spans="1:20" ht="15.75" thickBot="1">
      <c r="A4" s="15" t="s">
        <v>3</v>
      </c>
      <c r="B4" s="16"/>
      <c r="C4" s="332" t="s">
        <v>190</v>
      </c>
      <c r="D4" s="333" t="s">
        <v>5</v>
      </c>
      <c r="E4" s="333" t="s">
        <v>6</v>
      </c>
      <c r="F4" s="334" t="s">
        <v>8</v>
      </c>
      <c r="G4" s="5" t="s">
        <v>4</v>
      </c>
      <c r="H4" s="18" t="s">
        <v>5</v>
      </c>
      <c r="I4" s="19" t="s">
        <v>6</v>
      </c>
      <c r="J4" s="223" t="s">
        <v>7</v>
      </c>
      <c r="K4" s="20"/>
      <c r="L4" s="21" t="s">
        <v>4</v>
      </c>
      <c r="M4" s="22" t="s">
        <v>5</v>
      </c>
      <c r="N4" s="23" t="s">
        <v>6</v>
      </c>
      <c r="O4" s="23" t="s">
        <v>8</v>
      </c>
      <c r="P4" s="11"/>
      <c r="Q4" s="24" t="s">
        <v>4</v>
      </c>
      <c r="R4" s="25" t="s">
        <v>5</v>
      </c>
      <c r="S4" s="26" t="s">
        <v>6</v>
      </c>
      <c r="T4" s="138" t="s">
        <v>8</v>
      </c>
    </row>
    <row r="5" spans="1:20">
      <c r="A5" s="29" t="s">
        <v>9</v>
      </c>
      <c r="B5" s="30" t="s">
        <v>10</v>
      </c>
      <c r="C5" s="323">
        <v>203</v>
      </c>
      <c r="D5" s="324">
        <v>198</v>
      </c>
      <c r="E5" s="324">
        <v>97</v>
      </c>
      <c r="F5" s="325">
        <v>0</v>
      </c>
      <c r="G5" s="230">
        <v>222</v>
      </c>
      <c r="H5" s="230">
        <v>218</v>
      </c>
      <c r="I5" s="32">
        <f>218/222</f>
        <v>0.98198198198198194</v>
      </c>
      <c r="J5" s="224">
        <v>0</v>
      </c>
      <c r="K5" s="33"/>
      <c r="L5" s="148">
        <v>208</v>
      </c>
      <c r="M5" s="131">
        <v>189</v>
      </c>
      <c r="N5" s="144">
        <f>189/208</f>
        <v>0.90865384615384615</v>
      </c>
      <c r="O5" s="133">
        <v>2.4</v>
      </c>
      <c r="P5" s="37"/>
      <c r="Q5" s="49">
        <v>254</v>
      </c>
      <c r="R5" s="49">
        <v>220</v>
      </c>
      <c r="S5" s="39">
        <f>220/254</f>
        <v>0.86614173228346458</v>
      </c>
      <c r="T5" s="139">
        <v>4.3</v>
      </c>
    </row>
    <row r="6" spans="1:20">
      <c r="A6" s="29" t="s">
        <v>11</v>
      </c>
      <c r="B6" s="30" t="s">
        <v>12</v>
      </c>
      <c r="C6" s="323">
        <v>219</v>
      </c>
      <c r="D6" s="324">
        <v>196</v>
      </c>
      <c r="E6" s="324">
        <v>89</v>
      </c>
      <c r="F6" s="325">
        <v>2.7</v>
      </c>
      <c r="G6" s="230">
        <v>219</v>
      </c>
      <c r="H6" s="230">
        <v>201</v>
      </c>
      <c r="I6" s="32">
        <f>201/219</f>
        <v>0.9178082191780822</v>
      </c>
      <c r="J6" s="224">
        <v>4.5999999999999996</v>
      </c>
      <c r="K6" s="33"/>
      <c r="L6" s="148">
        <v>228</v>
      </c>
      <c r="M6" s="131">
        <v>216</v>
      </c>
      <c r="N6" s="144">
        <f>216/228</f>
        <v>0.94736842105263153</v>
      </c>
      <c r="O6" s="133">
        <v>8.8000000000000007</v>
      </c>
      <c r="P6" s="37"/>
      <c r="Q6" s="49">
        <v>221</v>
      </c>
      <c r="R6" s="49">
        <v>208</v>
      </c>
      <c r="S6" s="39">
        <f>208/221</f>
        <v>0.94117647058823528</v>
      </c>
      <c r="T6" s="139">
        <v>10.9</v>
      </c>
    </row>
    <row r="7" spans="1:20">
      <c r="A7" s="29"/>
      <c r="B7" s="30"/>
      <c r="C7" s="323"/>
      <c r="D7" s="324"/>
      <c r="E7" s="324"/>
      <c r="F7" s="325"/>
      <c r="G7" s="31"/>
      <c r="H7" s="31"/>
      <c r="I7" s="32"/>
      <c r="J7" s="224"/>
      <c r="K7" s="33"/>
      <c r="L7" s="148"/>
      <c r="M7" s="131"/>
      <c r="N7" s="144"/>
      <c r="O7" s="133"/>
      <c r="P7" s="37"/>
      <c r="Q7" s="38"/>
      <c r="R7" s="38"/>
      <c r="S7" s="39"/>
      <c r="T7" s="139"/>
    </row>
    <row r="8" spans="1:20">
      <c r="A8" s="29" t="s">
        <v>13</v>
      </c>
      <c r="B8" s="40" t="s">
        <v>14</v>
      </c>
      <c r="C8" s="326">
        <v>211</v>
      </c>
      <c r="D8" s="327">
        <v>197</v>
      </c>
      <c r="E8" s="327">
        <v>93</v>
      </c>
      <c r="F8" s="441">
        <v>11.4</v>
      </c>
      <c r="G8" s="230">
        <v>209</v>
      </c>
      <c r="H8" s="230">
        <v>200</v>
      </c>
      <c r="I8" s="32">
        <f>200/209</f>
        <v>0.9569377990430622</v>
      </c>
      <c r="J8" s="290">
        <v>12</v>
      </c>
      <c r="K8" s="33"/>
      <c r="L8" s="149">
        <v>217</v>
      </c>
      <c r="M8" s="145">
        <v>209</v>
      </c>
      <c r="N8" s="144">
        <f>209/217</f>
        <v>0.96313364055299544</v>
      </c>
      <c r="O8" s="43">
        <v>15.2</v>
      </c>
      <c r="P8" s="37"/>
      <c r="Q8" s="49">
        <v>190</v>
      </c>
      <c r="R8" s="49">
        <v>186</v>
      </c>
      <c r="S8" s="39">
        <f>186/190</f>
        <v>0.97894736842105268</v>
      </c>
      <c r="T8" s="139">
        <v>8.4</v>
      </c>
    </row>
    <row r="9" spans="1:20">
      <c r="A9" s="29" t="s">
        <v>15</v>
      </c>
      <c r="B9" s="40" t="s">
        <v>16</v>
      </c>
      <c r="C9" s="326">
        <v>217</v>
      </c>
      <c r="D9" s="327">
        <v>207</v>
      </c>
      <c r="E9" s="327">
        <v>95</v>
      </c>
      <c r="F9" s="441">
        <v>14.3</v>
      </c>
      <c r="G9" s="230">
        <v>218</v>
      </c>
      <c r="H9" s="230">
        <v>208</v>
      </c>
      <c r="I9" s="45">
        <f>208/218</f>
        <v>0.95412844036697253</v>
      </c>
      <c r="J9" s="225">
        <v>15.1</v>
      </c>
      <c r="K9" s="46"/>
      <c r="L9" s="149">
        <v>273</v>
      </c>
      <c r="M9" s="145">
        <v>248</v>
      </c>
      <c r="N9" s="146">
        <f>248/273</f>
        <v>0.90842490842490842</v>
      </c>
      <c r="O9" s="153">
        <v>17.5</v>
      </c>
      <c r="P9" s="37"/>
      <c r="Q9" s="49">
        <v>208</v>
      </c>
      <c r="R9" s="49">
        <v>187</v>
      </c>
      <c r="S9" s="39">
        <f>187/208</f>
        <v>0.89903846153846156</v>
      </c>
      <c r="T9" s="139">
        <v>9.1</v>
      </c>
    </row>
    <row r="10" spans="1:20">
      <c r="A10" s="48" t="s">
        <v>17</v>
      </c>
      <c r="B10" s="40" t="s">
        <v>18</v>
      </c>
      <c r="C10" s="326">
        <v>176</v>
      </c>
      <c r="D10" s="327">
        <v>165</v>
      </c>
      <c r="E10" s="327">
        <v>93</v>
      </c>
      <c r="F10" s="328">
        <v>2.4</v>
      </c>
      <c r="G10" s="230">
        <v>192</v>
      </c>
      <c r="H10" s="230">
        <v>184</v>
      </c>
      <c r="I10" s="45">
        <f>184/192</f>
        <v>0.95833333333333337</v>
      </c>
      <c r="J10" s="226">
        <v>4.2</v>
      </c>
      <c r="K10" s="46"/>
      <c r="L10" s="149">
        <v>197</v>
      </c>
      <c r="M10" s="145">
        <v>172</v>
      </c>
      <c r="N10" s="146">
        <f>172/197</f>
        <v>0.87309644670050757</v>
      </c>
      <c r="O10" s="154">
        <v>4.4000000000000004</v>
      </c>
      <c r="P10" s="37"/>
      <c r="Q10" s="49">
        <v>214</v>
      </c>
      <c r="R10" s="49">
        <v>169</v>
      </c>
      <c r="S10" s="39">
        <f>169/214</f>
        <v>0.78971962616822433</v>
      </c>
      <c r="T10" s="139">
        <v>4.9000000000000004</v>
      </c>
    </row>
    <row r="11" spans="1:20">
      <c r="A11" s="48"/>
      <c r="B11" s="40"/>
      <c r="C11" s="326"/>
      <c r="D11" s="327"/>
      <c r="E11" s="327"/>
      <c r="F11" s="328"/>
      <c r="G11" s="31"/>
      <c r="H11" s="31"/>
      <c r="I11" s="45"/>
      <c r="J11" s="226"/>
      <c r="K11" s="46"/>
      <c r="L11" s="149"/>
      <c r="M11" s="145"/>
      <c r="N11" s="146"/>
      <c r="O11" s="154"/>
      <c r="P11" s="37"/>
      <c r="Q11" s="44"/>
      <c r="R11" s="44"/>
      <c r="S11" s="39"/>
      <c r="T11" s="139"/>
    </row>
    <row r="12" spans="1:20">
      <c r="A12" s="29" t="s">
        <v>19</v>
      </c>
      <c r="B12" s="40" t="s">
        <v>191</v>
      </c>
      <c r="C12" s="361"/>
      <c r="D12" s="362"/>
      <c r="E12" s="362"/>
      <c r="F12" s="363"/>
      <c r="G12" s="230">
        <v>116</v>
      </c>
      <c r="H12" s="230">
        <v>91</v>
      </c>
      <c r="I12" s="45">
        <f>91/116</f>
        <v>0.78448275862068961</v>
      </c>
      <c r="J12" s="239" t="s">
        <v>177</v>
      </c>
      <c r="K12" s="46"/>
      <c r="L12" s="149">
        <v>314</v>
      </c>
      <c r="M12" s="145">
        <v>299</v>
      </c>
      <c r="N12" s="146">
        <f>299/314</f>
        <v>0.95222929936305734</v>
      </c>
      <c r="O12" s="155">
        <v>32.5</v>
      </c>
      <c r="P12" s="37"/>
      <c r="Q12" s="49">
        <v>245</v>
      </c>
      <c r="R12" s="49">
        <v>232</v>
      </c>
      <c r="S12" s="39">
        <f>232/245</f>
        <v>0.94693877551020411</v>
      </c>
      <c r="T12" s="157">
        <v>16.7</v>
      </c>
    </row>
    <row r="13" spans="1:20">
      <c r="A13" s="29" t="s">
        <v>20</v>
      </c>
      <c r="B13" s="40" t="s">
        <v>21</v>
      </c>
      <c r="C13" s="326">
        <v>215</v>
      </c>
      <c r="D13" s="327">
        <v>196</v>
      </c>
      <c r="E13" s="327">
        <v>91</v>
      </c>
      <c r="F13" s="441">
        <v>14.4</v>
      </c>
      <c r="G13" s="31">
        <v>173</v>
      </c>
      <c r="H13" s="31">
        <v>169</v>
      </c>
      <c r="I13" s="67">
        <f>169/173</f>
        <v>0.97687861271676302</v>
      </c>
      <c r="J13" s="291">
        <v>12.7</v>
      </c>
      <c r="K13" s="46"/>
      <c r="L13" s="149"/>
      <c r="M13" s="145"/>
      <c r="N13" s="146"/>
      <c r="O13" s="232"/>
      <c r="P13" s="37"/>
      <c r="Q13" s="44"/>
      <c r="R13" s="44"/>
      <c r="S13" s="39"/>
      <c r="T13" s="139"/>
    </row>
    <row r="14" spans="1:20">
      <c r="A14" s="29" t="s">
        <v>22</v>
      </c>
      <c r="B14" s="40" t="s">
        <v>192</v>
      </c>
      <c r="C14" s="361"/>
      <c r="D14" s="362"/>
      <c r="E14" s="362"/>
      <c r="F14" s="363"/>
      <c r="G14" s="230">
        <v>70</v>
      </c>
      <c r="H14" s="230">
        <v>57</v>
      </c>
      <c r="I14" s="45">
        <f>57/70</f>
        <v>0.81428571428571428</v>
      </c>
      <c r="J14" s="239" t="s">
        <v>179</v>
      </c>
      <c r="K14" s="46"/>
      <c r="L14" s="149">
        <v>244</v>
      </c>
      <c r="M14" s="145">
        <v>234</v>
      </c>
      <c r="N14" s="146">
        <f>234/244</f>
        <v>0.95901639344262291</v>
      </c>
      <c r="O14" s="153">
        <v>20.100000000000001</v>
      </c>
      <c r="P14" s="37"/>
      <c r="Q14" s="49">
        <v>225</v>
      </c>
      <c r="R14" s="49">
        <v>205</v>
      </c>
      <c r="S14" s="39">
        <f>205/225</f>
        <v>0.91111111111111109</v>
      </c>
      <c r="T14" s="139">
        <v>8.9</v>
      </c>
    </row>
    <row r="15" spans="1:20">
      <c r="A15" s="29" t="s">
        <v>178</v>
      </c>
      <c r="B15" s="40" t="s">
        <v>181</v>
      </c>
      <c r="C15" s="326">
        <v>188</v>
      </c>
      <c r="D15" s="327">
        <v>180</v>
      </c>
      <c r="E15" s="327">
        <v>95</v>
      </c>
      <c r="F15" s="328">
        <v>6.9</v>
      </c>
      <c r="G15" s="230">
        <v>177</v>
      </c>
      <c r="H15" s="230">
        <v>169</v>
      </c>
      <c r="I15" s="45">
        <f>169/177</f>
        <v>0.95480225988700562</v>
      </c>
      <c r="J15" s="227"/>
      <c r="K15" s="46"/>
      <c r="L15" s="149"/>
      <c r="M15" s="145"/>
      <c r="N15" s="146"/>
      <c r="O15" s="133"/>
      <c r="P15" s="37"/>
      <c r="Q15" s="49"/>
      <c r="R15" s="49"/>
      <c r="S15" s="39"/>
      <c r="T15" s="139"/>
    </row>
    <row r="16" spans="1:20">
      <c r="A16" s="29" t="s">
        <v>23</v>
      </c>
      <c r="B16" s="40" t="s">
        <v>24</v>
      </c>
      <c r="C16" s="326">
        <v>200</v>
      </c>
      <c r="D16" s="327">
        <v>184</v>
      </c>
      <c r="E16" s="327">
        <v>92</v>
      </c>
      <c r="F16" s="328">
        <v>6.5</v>
      </c>
      <c r="G16" s="230">
        <v>191</v>
      </c>
      <c r="H16" s="230">
        <v>171</v>
      </c>
      <c r="I16" s="45">
        <f>171/191</f>
        <v>0.89528795811518325</v>
      </c>
      <c r="J16" s="227">
        <v>6.8</v>
      </c>
      <c r="K16" s="46"/>
      <c r="L16" s="149">
        <v>234</v>
      </c>
      <c r="M16" s="145">
        <v>207</v>
      </c>
      <c r="N16" s="146">
        <f>207/234</f>
        <v>0.88461538461538458</v>
      </c>
      <c r="O16" s="43">
        <v>14.2</v>
      </c>
      <c r="P16" s="37"/>
      <c r="Q16" s="49">
        <v>207</v>
      </c>
      <c r="R16" s="49">
        <v>201</v>
      </c>
      <c r="S16" s="39">
        <f>201/207</f>
        <v>0.97101449275362317</v>
      </c>
      <c r="T16" s="158">
        <v>7.7</v>
      </c>
    </row>
    <row r="17" spans="1:20">
      <c r="A17" s="29"/>
      <c r="B17" s="40"/>
      <c r="C17" s="326"/>
      <c r="D17" s="327"/>
      <c r="E17" s="327"/>
      <c r="F17" s="328"/>
      <c r="G17" s="41"/>
      <c r="H17" s="41"/>
      <c r="I17" s="45"/>
      <c r="J17" s="227"/>
      <c r="K17" s="46"/>
      <c r="L17" s="149"/>
      <c r="M17" s="145"/>
      <c r="N17" s="146"/>
      <c r="O17" s="133"/>
      <c r="P17" s="37"/>
      <c r="Q17" s="44"/>
      <c r="R17" s="44"/>
      <c r="S17" s="39"/>
      <c r="T17" s="139"/>
    </row>
    <row r="18" spans="1:20">
      <c r="A18" s="29" t="s">
        <v>25</v>
      </c>
      <c r="B18" s="40" t="s">
        <v>26</v>
      </c>
      <c r="C18" s="326">
        <v>214</v>
      </c>
      <c r="D18" s="327">
        <v>198</v>
      </c>
      <c r="E18" s="327">
        <v>92</v>
      </c>
      <c r="F18" s="328">
        <v>7</v>
      </c>
      <c r="G18" s="230">
        <v>283</v>
      </c>
      <c r="H18" s="230">
        <v>259</v>
      </c>
      <c r="I18" s="45">
        <f>259/283</f>
        <v>0.9151943462897526</v>
      </c>
      <c r="J18" s="228">
        <v>13.1</v>
      </c>
      <c r="K18" s="46"/>
      <c r="L18" s="149">
        <v>286</v>
      </c>
      <c r="M18" s="145">
        <v>263</v>
      </c>
      <c r="N18" s="146">
        <f>263/286</f>
        <v>0.91958041958041958</v>
      </c>
      <c r="O18" s="133">
        <v>9.1999999999999993</v>
      </c>
      <c r="P18" s="37"/>
      <c r="Q18" s="49">
        <v>255</v>
      </c>
      <c r="R18" s="49">
        <v>222</v>
      </c>
      <c r="S18" s="39">
        <f>222/255</f>
        <v>0.87058823529411766</v>
      </c>
      <c r="T18" s="139">
        <v>7.5</v>
      </c>
    </row>
    <row r="19" spans="1:20">
      <c r="A19" s="29" t="s">
        <v>27</v>
      </c>
      <c r="B19" s="40" t="s">
        <v>28</v>
      </c>
      <c r="C19" s="326">
        <v>185</v>
      </c>
      <c r="D19" s="327">
        <v>163</v>
      </c>
      <c r="E19" s="327">
        <v>88</v>
      </c>
      <c r="F19" s="440">
        <v>24.9</v>
      </c>
      <c r="G19" s="230">
        <v>256</v>
      </c>
      <c r="H19" s="230">
        <v>233</v>
      </c>
      <c r="I19" s="45">
        <f>233/256</f>
        <v>0.91015625</v>
      </c>
      <c r="J19" s="225">
        <v>19.100000000000001</v>
      </c>
      <c r="K19" s="46"/>
      <c r="L19" s="149">
        <v>268</v>
      </c>
      <c r="M19" s="145">
        <v>251</v>
      </c>
      <c r="N19" s="146">
        <f>251/268</f>
        <v>0.93656716417910446</v>
      </c>
      <c r="O19" s="153">
        <v>19.5</v>
      </c>
      <c r="P19" s="37"/>
      <c r="Q19" s="49">
        <v>254</v>
      </c>
      <c r="R19" s="49">
        <v>224</v>
      </c>
      <c r="S19" s="39">
        <f>224/254</f>
        <v>0.88188976377952755</v>
      </c>
      <c r="T19" s="158">
        <v>12.3</v>
      </c>
    </row>
    <row r="20" spans="1:20">
      <c r="A20" s="29" t="s">
        <v>29</v>
      </c>
      <c r="B20" s="40" t="s">
        <v>30</v>
      </c>
      <c r="C20" s="326">
        <v>90</v>
      </c>
      <c r="D20" s="327">
        <v>78</v>
      </c>
      <c r="E20" s="327">
        <v>86</v>
      </c>
      <c r="F20" s="328">
        <v>2.2000000000000002</v>
      </c>
      <c r="G20" s="230">
        <v>106</v>
      </c>
      <c r="H20" s="230">
        <v>100</v>
      </c>
      <c r="I20" s="32">
        <f>100/106</f>
        <v>0.94339622641509435</v>
      </c>
      <c r="J20" s="224">
        <v>3.8</v>
      </c>
      <c r="K20" s="33"/>
      <c r="L20" s="148">
        <v>130</v>
      </c>
      <c r="M20" s="131">
        <v>122</v>
      </c>
      <c r="N20" s="144">
        <f>122/130</f>
        <v>0.93846153846153846</v>
      </c>
      <c r="O20" s="133">
        <v>4.7</v>
      </c>
      <c r="P20" s="37"/>
      <c r="Q20" s="49">
        <v>94</v>
      </c>
      <c r="R20" s="49">
        <v>78</v>
      </c>
      <c r="S20" s="39">
        <f>78/94</f>
        <v>0.82978723404255317</v>
      </c>
      <c r="T20" s="139">
        <v>1.1000000000000001</v>
      </c>
    </row>
    <row r="21" spans="1:20">
      <c r="A21" s="29" t="s">
        <v>31</v>
      </c>
      <c r="B21" s="40" t="s">
        <v>32</v>
      </c>
      <c r="C21" s="326">
        <v>70</v>
      </c>
      <c r="D21" s="327">
        <v>70</v>
      </c>
      <c r="E21" s="327">
        <v>100</v>
      </c>
      <c r="F21" s="328">
        <v>3.3</v>
      </c>
      <c r="G21" s="230">
        <v>71</v>
      </c>
      <c r="H21" s="230">
        <v>68</v>
      </c>
      <c r="I21" s="45">
        <f>68/71</f>
        <v>0.95774647887323938</v>
      </c>
      <c r="J21" s="227">
        <v>0</v>
      </c>
      <c r="K21" s="46"/>
      <c r="L21" s="149">
        <v>103</v>
      </c>
      <c r="M21" s="145">
        <v>98</v>
      </c>
      <c r="N21" s="146">
        <f>98/103</f>
        <v>0.95145631067961167</v>
      </c>
      <c r="O21" s="133">
        <v>3.1</v>
      </c>
      <c r="P21" s="37"/>
      <c r="Q21" s="49">
        <v>124</v>
      </c>
      <c r="R21" s="49">
        <v>101</v>
      </c>
      <c r="S21" s="39">
        <f>101/124</f>
        <v>0.81451612903225812</v>
      </c>
      <c r="T21" s="139">
        <v>3.3</v>
      </c>
    </row>
    <row r="22" spans="1:20" ht="15.75" thickBot="1">
      <c r="A22" s="29" t="s">
        <v>33</v>
      </c>
      <c r="B22" s="50" t="s">
        <v>34</v>
      </c>
      <c r="C22" s="326">
        <v>73</v>
      </c>
      <c r="D22" s="327">
        <v>59</v>
      </c>
      <c r="E22" s="327">
        <v>80</v>
      </c>
      <c r="F22" s="328">
        <v>0</v>
      </c>
      <c r="G22" s="230">
        <v>61</v>
      </c>
      <c r="H22" s="230">
        <v>51</v>
      </c>
      <c r="I22" s="32">
        <f>51/61</f>
        <v>0.83606557377049184</v>
      </c>
      <c r="J22" s="224">
        <v>1.6</v>
      </c>
      <c r="K22" s="33"/>
      <c r="L22" s="150">
        <v>73</v>
      </c>
      <c r="M22" s="151">
        <v>53</v>
      </c>
      <c r="N22" s="152">
        <f>53/73</f>
        <v>0.72602739726027399</v>
      </c>
      <c r="O22" s="156"/>
      <c r="P22" s="37"/>
      <c r="Q22" s="159">
        <v>68</v>
      </c>
      <c r="R22" s="159">
        <v>57</v>
      </c>
      <c r="S22" s="160">
        <f>57/68</f>
        <v>0.83823529411764708</v>
      </c>
      <c r="T22" s="161">
        <v>0</v>
      </c>
    </row>
    <row r="23" spans="1:20" ht="15.75" thickBot="1">
      <c r="A23" s="51"/>
      <c r="B23" s="52" t="s">
        <v>35</v>
      </c>
      <c r="C23" s="329">
        <f>SUM(C5:C22)</f>
        <v>2261</v>
      </c>
      <c r="D23" s="330">
        <f>SUM(D5:D22)</f>
        <v>2091</v>
      </c>
      <c r="E23" s="385">
        <v>0.92</v>
      </c>
      <c r="F23" s="331"/>
      <c r="G23" s="53">
        <f>SUM(G5:G22)</f>
        <v>2564</v>
      </c>
      <c r="H23" s="53">
        <f>SUM(H5:H22)</f>
        <v>2379</v>
      </c>
      <c r="I23" s="54">
        <f>2041/2214</f>
        <v>0.92186088527551946</v>
      </c>
      <c r="J23" s="229"/>
      <c r="K23" s="55"/>
      <c r="L23" s="168">
        <v>2775</v>
      </c>
      <c r="M23" s="169">
        <v>2561</v>
      </c>
      <c r="N23" s="170">
        <f>2651/2775</f>
        <v>0.95531531531531533</v>
      </c>
      <c r="O23" s="170"/>
      <c r="P23" s="56"/>
      <c r="Q23" s="91">
        <v>2559</v>
      </c>
      <c r="R23" s="91">
        <v>2290</v>
      </c>
      <c r="S23" s="92">
        <f>2290/2559</f>
        <v>0.89488081281750687</v>
      </c>
      <c r="T23" s="92"/>
    </row>
    <row r="24" spans="1:20">
      <c r="A24" s="30"/>
      <c r="B24" s="57"/>
      <c r="C24" s="57"/>
      <c r="D24" s="57"/>
      <c r="E24" s="57"/>
      <c r="F24" s="57"/>
      <c r="G24" s="71"/>
      <c r="H24" s="71"/>
      <c r="I24" s="72"/>
      <c r="J24" s="72"/>
      <c r="K24" s="72"/>
      <c r="L24" s="71"/>
      <c r="M24" s="71"/>
      <c r="N24" s="72"/>
      <c r="O24" s="27"/>
      <c r="P24" s="27"/>
      <c r="Q24" s="71"/>
      <c r="R24" s="71"/>
      <c r="S24" s="72"/>
      <c r="T24" s="27"/>
    </row>
    <row r="25" spans="1:20" ht="15.75" thickBot="1">
      <c r="A25" s="4" t="s">
        <v>1</v>
      </c>
      <c r="B25" s="4" t="s">
        <v>2</v>
      </c>
      <c r="C25" s="4"/>
      <c r="D25" s="4"/>
      <c r="E25" s="4"/>
      <c r="F25" s="4"/>
      <c r="I25" s="58"/>
      <c r="J25" s="58"/>
      <c r="K25" s="58"/>
      <c r="L25" s="3"/>
      <c r="M25" s="3"/>
      <c r="N25" s="58"/>
      <c r="P25" s="3"/>
      <c r="Q25" s="3"/>
      <c r="S25" s="60"/>
    </row>
    <row r="26" spans="1:20" ht="15.75" thickBot="1">
      <c r="A26" s="15" t="s">
        <v>36</v>
      </c>
      <c r="B26" s="16"/>
      <c r="C26" s="332" t="s">
        <v>190</v>
      </c>
      <c r="D26" s="333" t="s">
        <v>5</v>
      </c>
      <c r="E26" s="333" t="s">
        <v>6</v>
      </c>
      <c r="F26" s="386"/>
      <c r="G26" s="17" t="s">
        <v>4</v>
      </c>
      <c r="H26" s="18" t="s">
        <v>5</v>
      </c>
      <c r="I26" s="19" t="s">
        <v>6</v>
      </c>
      <c r="J26" s="61"/>
      <c r="K26" s="20"/>
      <c r="L26" s="21" t="s">
        <v>4</v>
      </c>
      <c r="M26" s="22" t="s">
        <v>5</v>
      </c>
      <c r="N26" s="23" t="s">
        <v>6</v>
      </c>
      <c r="O26" s="235"/>
      <c r="P26" s="11"/>
      <c r="Q26" s="24" t="s">
        <v>4</v>
      </c>
      <c r="R26" s="25" t="s">
        <v>5</v>
      </c>
      <c r="S26" s="26" t="s">
        <v>6</v>
      </c>
      <c r="T26" s="140"/>
    </row>
    <row r="27" spans="1:20">
      <c r="A27" s="97" t="s">
        <v>187</v>
      </c>
      <c r="B27" s="307" t="s">
        <v>188</v>
      </c>
      <c r="C27" s="324">
        <v>14</v>
      </c>
      <c r="D27" s="324">
        <v>14</v>
      </c>
      <c r="E27" s="324">
        <v>100</v>
      </c>
      <c r="F27" s="324"/>
      <c r="G27" s="443">
        <v>3</v>
      </c>
      <c r="H27" s="309">
        <v>3</v>
      </c>
      <c r="I27" s="240">
        <v>1</v>
      </c>
      <c r="J27" s="444"/>
      <c r="K27" s="63"/>
      <c r="L27" s="59"/>
      <c r="M27" s="303"/>
      <c r="N27" s="64"/>
      <c r="O27" s="34"/>
      <c r="P27" s="28"/>
      <c r="Q27" s="304"/>
      <c r="R27" s="305"/>
      <c r="S27" s="306"/>
      <c r="T27" s="236"/>
    </row>
    <row r="28" spans="1:20">
      <c r="A28" s="271" t="s">
        <v>193</v>
      </c>
      <c r="B28" s="27" t="s">
        <v>194</v>
      </c>
      <c r="C28" s="324">
        <v>3</v>
      </c>
      <c r="D28" s="324">
        <v>2</v>
      </c>
      <c r="E28" s="324">
        <f>3/2</f>
        <v>1.5</v>
      </c>
      <c r="F28" s="324"/>
      <c r="G28" s="443">
        <v>4</v>
      </c>
      <c r="H28" s="309">
        <v>3</v>
      </c>
      <c r="I28" s="240">
        <f>3/4</f>
        <v>0.75</v>
      </c>
      <c r="J28" s="444"/>
      <c r="K28" s="63"/>
      <c r="L28" s="59"/>
      <c r="M28" s="303"/>
      <c r="N28" s="64"/>
      <c r="O28" s="34"/>
      <c r="P28" s="28"/>
      <c r="Q28" s="304"/>
      <c r="R28" s="305"/>
      <c r="S28" s="306"/>
      <c r="T28" s="236"/>
    </row>
    <row r="29" spans="1:20">
      <c r="A29" s="162" t="s">
        <v>55</v>
      </c>
      <c r="B29" s="163" t="s">
        <v>56</v>
      </c>
      <c r="C29" s="324">
        <v>84</v>
      </c>
      <c r="D29" s="324">
        <v>44</v>
      </c>
      <c r="E29" s="324">
        <v>52</v>
      </c>
      <c r="F29" s="324"/>
      <c r="G29" s="445">
        <v>67</v>
      </c>
      <c r="H29" s="230">
        <v>23</v>
      </c>
      <c r="I29" s="240">
        <f>23/67</f>
        <v>0.34328358208955223</v>
      </c>
      <c r="J29" s="446"/>
      <c r="K29" s="63"/>
      <c r="L29" s="42">
        <v>56</v>
      </c>
      <c r="M29" s="42">
        <v>23</v>
      </c>
      <c r="N29" s="47">
        <f>23/56</f>
        <v>0.4107142857142857</v>
      </c>
      <c r="O29" s="64"/>
      <c r="P29" s="28"/>
      <c r="Q29" s="66">
        <v>45</v>
      </c>
      <c r="R29" s="49">
        <v>16</v>
      </c>
      <c r="S29" s="39">
        <f>16/45</f>
        <v>0.35555555555555557</v>
      </c>
      <c r="T29" s="236"/>
    </row>
    <row r="30" spans="1:20">
      <c r="A30" s="162" t="s">
        <v>37</v>
      </c>
      <c r="B30" s="163" t="s">
        <v>38</v>
      </c>
      <c r="C30" s="324">
        <v>18</v>
      </c>
      <c r="D30" s="324">
        <v>17</v>
      </c>
      <c r="E30" s="324">
        <v>94</v>
      </c>
      <c r="F30" s="324"/>
      <c r="G30" s="445">
        <v>25</v>
      </c>
      <c r="H30" s="230">
        <v>17</v>
      </c>
      <c r="I30" s="45">
        <f>17/25</f>
        <v>0.68</v>
      </c>
      <c r="J30" s="447"/>
      <c r="K30" s="46"/>
      <c r="L30" s="42">
        <v>26</v>
      </c>
      <c r="M30" s="42">
        <v>26</v>
      </c>
      <c r="N30" s="47">
        <v>1</v>
      </c>
      <c r="O30" s="47"/>
      <c r="P30" s="37"/>
      <c r="Q30" s="66">
        <v>22</v>
      </c>
      <c r="R30" s="49">
        <v>21</v>
      </c>
      <c r="S30" s="39">
        <f>21/22</f>
        <v>0.95454545454545459</v>
      </c>
      <c r="T30" s="237"/>
    </row>
    <row r="31" spans="1:20">
      <c r="A31" s="162" t="s">
        <v>57</v>
      </c>
      <c r="B31" s="163" t="s">
        <v>58</v>
      </c>
      <c r="C31" s="324">
        <v>61</v>
      </c>
      <c r="D31" s="324">
        <v>45</v>
      </c>
      <c r="E31" s="324">
        <v>73</v>
      </c>
      <c r="F31" s="324"/>
      <c r="G31" s="445">
        <v>96</v>
      </c>
      <c r="H31" s="230">
        <v>66</v>
      </c>
      <c r="I31" s="45">
        <f>66/96</f>
        <v>0.6875</v>
      </c>
      <c r="J31" s="447"/>
      <c r="K31" s="46"/>
      <c r="L31" s="42">
        <v>67</v>
      </c>
      <c r="M31" s="42">
        <v>24</v>
      </c>
      <c r="N31" s="47">
        <f>24/67</f>
        <v>0.35820895522388058</v>
      </c>
      <c r="O31" s="47"/>
      <c r="P31" s="37"/>
      <c r="Q31" s="66">
        <v>58</v>
      </c>
      <c r="R31" s="49">
        <v>49</v>
      </c>
      <c r="S31" s="39">
        <f>49/58</f>
        <v>0.84482758620689657</v>
      </c>
      <c r="T31" s="237"/>
    </row>
    <row r="32" spans="1:20">
      <c r="A32" s="162" t="s">
        <v>59</v>
      </c>
      <c r="B32" s="163" t="s">
        <v>60</v>
      </c>
      <c r="C32" s="324">
        <v>41</v>
      </c>
      <c r="D32" s="324">
        <v>20</v>
      </c>
      <c r="E32" s="324">
        <v>48</v>
      </c>
      <c r="F32" s="324"/>
      <c r="G32" s="445">
        <v>38</v>
      </c>
      <c r="H32" s="230">
        <v>23</v>
      </c>
      <c r="I32" s="67">
        <v>0.61</v>
      </c>
      <c r="J32" s="448"/>
      <c r="K32" s="65"/>
      <c r="L32" s="42">
        <v>38</v>
      </c>
      <c r="M32" s="42">
        <v>23</v>
      </c>
      <c r="N32" s="47">
        <f>23/38</f>
        <v>0.60526315789473684</v>
      </c>
      <c r="O32" s="47"/>
      <c r="P32" s="37"/>
      <c r="Q32" s="66">
        <v>27</v>
      </c>
      <c r="R32" s="49">
        <v>18</v>
      </c>
      <c r="S32" s="39">
        <f>18/27</f>
        <v>0.66666666666666663</v>
      </c>
      <c r="T32" s="237"/>
    </row>
    <row r="33" spans="1:22">
      <c r="A33" s="162" t="s">
        <v>61</v>
      </c>
      <c r="B33" s="163" t="s">
        <v>62</v>
      </c>
      <c r="C33" s="324">
        <v>229</v>
      </c>
      <c r="D33" s="324">
        <v>147</v>
      </c>
      <c r="E33" s="324">
        <v>64</v>
      </c>
      <c r="F33" s="324"/>
      <c r="G33" s="445">
        <v>341</v>
      </c>
      <c r="H33" s="230">
        <v>212</v>
      </c>
      <c r="I33" s="67">
        <v>0.62</v>
      </c>
      <c r="J33" s="448"/>
      <c r="K33" s="65"/>
      <c r="L33" s="42">
        <v>278</v>
      </c>
      <c r="M33" s="42">
        <v>182</v>
      </c>
      <c r="N33" s="47">
        <f>182/278</f>
        <v>0.65467625899280579</v>
      </c>
      <c r="O33" s="47"/>
      <c r="P33" s="37"/>
      <c r="Q33" s="66">
        <v>221</v>
      </c>
      <c r="R33" s="49">
        <v>172</v>
      </c>
      <c r="S33" s="39">
        <f>172/221</f>
        <v>0.77828054298642535</v>
      </c>
      <c r="T33" s="237"/>
    </row>
    <row r="34" spans="1:22">
      <c r="A34" s="162" t="s">
        <v>63</v>
      </c>
      <c r="B34" s="163" t="s">
        <v>64</v>
      </c>
      <c r="C34" s="324">
        <v>116</v>
      </c>
      <c r="D34" s="324">
        <v>74</v>
      </c>
      <c r="E34" s="324">
        <v>63</v>
      </c>
      <c r="F34" s="324"/>
      <c r="G34" s="445">
        <v>158</v>
      </c>
      <c r="H34" s="230">
        <v>102</v>
      </c>
      <c r="I34" s="67">
        <f>102/158</f>
        <v>0.64556962025316456</v>
      </c>
      <c r="J34" s="298"/>
      <c r="K34" s="65"/>
      <c r="L34" s="42">
        <v>116</v>
      </c>
      <c r="M34" s="42">
        <v>77</v>
      </c>
      <c r="N34" s="47">
        <f>77/116</f>
        <v>0.66379310344827591</v>
      </c>
      <c r="O34" s="47"/>
      <c r="P34" s="37"/>
      <c r="Q34" s="66">
        <v>67</v>
      </c>
      <c r="R34" s="49">
        <v>27</v>
      </c>
      <c r="S34" s="39">
        <f>27/67</f>
        <v>0.40298507462686567</v>
      </c>
      <c r="T34" s="237"/>
    </row>
    <row r="35" spans="1:22">
      <c r="A35" s="162" t="s">
        <v>65</v>
      </c>
      <c r="B35" s="163" t="s">
        <v>66</v>
      </c>
      <c r="C35" s="324">
        <v>80</v>
      </c>
      <c r="D35" s="324">
        <v>55</v>
      </c>
      <c r="E35" s="324">
        <v>68</v>
      </c>
      <c r="F35" s="324"/>
      <c r="G35" s="190">
        <v>101</v>
      </c>
      <c r="H35" s="41">
        <v>69</v>
      </c>
      <c r="I35" s="67">
        <f>69/101</f>
        <v>0.68316831683168322</v>
      </c>
      <c r="J35" s="448"/>
      <c r="K35" s="65"/>
      <c r="L35" s="42">
        <v>84</v>
      </c>
      <c r="M35" s="42">
        <v>36</v>
      </c>
      <c r="N35" s="47">
        <f>36/84</f>
        <v>0.42857142857142855</v>
      </c>
      <c r="O35" s="47"/>
      <c r="P35" s="37"/>
      <c r="Q35" s="66">
        <v>73</v>
      </c>
      <c r="R35" s="49">
        <v>63</v>
      </c>
      <c r="S35" s="39">
        <f>63/73</f>
        <v>0.86301369863013699</v>
      </c>
      <c r="T35" s="237"/>
    </row>
    <row r="36" spans="1:22">
      <c r="A36" s="162" t="s">
        <v>67</v>
      </c>
      <c r="B36" s="163" t="s">
        <v>68</v>
      </c>
      <c r="C36" s="324">
        <v>107</v>
      </c>
      <c r="D36" s="324">
        <v>91</v>
      </c>
      <c r="E36" s="324">
        <v>85</v>
      </c>
      <c r="F36" s="324"/>
      <c r="G36" s="445">
        <v>118</v>
      </c>
      <c r="H36" s="230">
        <v>94</v>
      </c>
      <c r="I36" s="67">
        <v>0.8</v>
      </c>
      <c r="J36" s="448"/>
      <c r="K36" s="65"/>
      <c r="L36" s="42">
        <v>79</v>
      </c>
      <c r="M36" s="42">
        <v>52</v>
      </c>
      <c r="N36" s="47">
        <f>52/79</f>
        <v>0.65822784810126578</v>
      </c>
      <c r="O36" s="47"/>
      <c r="P36" s="37"/>
      <c r="Q36" s="66">
        <v>63</v>
      </c>
      <c r="R36" s="49">
        <v>54</v>
      </c>
      <c r="S36" s="39">
        <f>54/63</f>
        <v>0.8571428571428571</v>
      </c>
      <c r="T36" s="237"/>
    </row>
    <row r="37" spans="1:22" ht="15.75" thickBot="1">
      <c r="A37" s="252" t="s">
        <v>69</v>
      </c>
      <c r="B37" s="164" t="s">
        <v>70</v>
      </c>
      <c r="C37" s="335">
        <v>76</v>
      </c>
      <c r="D37" s="335">
        <v>42</v>
      </c>
      <c r="E37" s="335">
        <v>55</v>
      </c>
      <c r="F37" s="335"/>
      <c r="G37" s="449">
        <v>73</v>
      </c>
      <c r="H37" s="253">
        <v>49</v>
      </c>
      <c r="I37" s="262">
        <v>0.67</v>
      </c>
      <c r="J37" s="450"/>
      <c r="K37" s="254"/>
      <c r="L37" s="245">
        <v>70</v>
      </c>
      <c r="M37" s="245">
        <v>22</v>
      </c>
      <c r="N37" s="246">
        <f>22/70</f>
        <v>0.31428571428571428</v>
      </c>
      <c r="O37" s="246"/>
      <c r="P37" s="247"/>
      <c r="Q37" s="166">
        <v>36</v>
      </c>
      <c r="R37" s="159">
        <v>29</v>
      </c>
      <c r="S37" s="160">
        <f>29/36</f>
        <v>0.80555555555555558</v>
      </c>
      <c r="T37" s="238"/>
    </row>
    <row r="38" spans="1:22" s="3" customFormat="1" ht="15.75" thickBot="1">
      <c r="A38" s="255"/>
      <c r="B38" s="256"/>
      <c r="C38" s="386">
        <f>SUM(C27:C37)</f>
        <v>829</v>
      </c>
      <c r="D38" s="386">
        <f>SUM(D27:D37)</f>
        <v>551</v>
      </c>
      <c r="E38" s="387">
        <f>551/829</f>
        <v>0.66465621230398075</v>
      </c>
      <c r="F38" s="322"/>
      <c r="G38" s="451">
        <f>SUM(G27:G37)</f>
        <v>1024</v>
      </c>
      <c r="H38" s="234">
        <f>SUM(H27:H37)</f>
        <v>661</v>
      </c>
      <c r="I38" s="263">
        <f>658/1020</f>
        <v>0.64509803921568631</v>
      </c>
      <c r="J38" s="452"/>
      <c r="K38" s="257"/>
      <c r="L38" s="114">
        <f>SUM(L29:L37)</f>
        <v>814</v>
      </c>
      <c r="M38" s="114">
        <f>SUM(M29:M37)</f>
        <v>465</v>
      </c>
      <c r="N38" s="264">
        <f>563/987</f>
        <v>0.57041540020263426</v>
      </c>
      <c r="O38" s="264"/>
      <c r="P38" s="265"/>
      <c r="Q38" s="266">
        <f>SUM(Q29:Q37)</f>
        <v>612</v>
      </c>
      <c r="R38" s="267">
        <f>SUM(R29:R37)</f>
        <v>449</v>
      </c>
      <c r="S38" s="268">
        <f>517/701</f>
        <v>0.73751783166904428</v>
      </c>
      <c r="T38" s="258"/>
      <c r="V38"/>
    </row>
    <row r="39" spans="1:22" s="3" customFormat="1">
      <c r="A39" s="249"/>
      <c r="G39" s="211"/>
      <c r="H39" s="211"/>
      <c r="I39" s="241"/>
      <c r="J39" s="50"/>
      <c r="K39" s="50"/>
      <c r="L39" s="50"/>
      <c r="M39" s="50"/>
      <c r="N39" s="248"/>
      <c r="O39" s="248"/>
      <c r="P39" s="27"/>
      <c r="Q39" s="250"/>
      <c r="R39" s="174"/>
      <c r="S39" s="248"/>
      <c r="T39" s="251"/>
    </row>
    <row r="40" spans="1:22" ht="15.75" thickBot="1">
      <c r="A40" s="40"/>
      <c r="B40" s="57"/>
      <c r="C40" s="57"/>
      <c r="D40" s="57"/>
      <c r="E40" s="57"/>
      <c r="F40" s="57"/>
      <c r="G40" s="71"/>
      <c r="H40" s="71"/>
      <c r="I40" s="72"/>
      <c r="J40" s="72"/>
      <c r="K40" s="72"/>
      <c r="L40" s="71"/>
      <c r="M40" s="71"/>
      <c r="N40" s="72"/>
      <c r="O40" s="72"/>
      <c r="P40" s="71"/>
      <c r="Q40" s="71"/>
      <c r="R40" s="71"/>
      <c r="S40" s="72"/>
      <c r="T40" s="72"/>
      <c r="V40" s="3"/>
    </row>
    <row r="41" spans="1:22">
      <c r="A41" s="73" t="s">
        <v>40</v>
      </c>
      <c r="B41" s="74" t="s">
        <v>41</v>
      </c>
      <c r="C41" s="342">
        <v>327</v>
      </c>
      <c r="D41" s="343">
        <v>235</v>
      </c>
      <c r="E41" s="407">
        <v>0.71</v>
      </c>
      <c r="F41" s="344"/>
      <c r="G41" s="75">
        <v>320</v>
      </c>
      <c r="H41" s="75">
        <v>210</v>
      </c>
      <c r="I41" s="76">
        <f>210/320</f>
        <v>0.65625</v>
      </c>
      <c r="J41" s="76"/>
      <c r="K41" s="77"/>
      <c r="L41" s="78">
        <v>300</v>
      </c>
      <c r="M41" s="78">
        <v>134</v>
      </c>
      <c r="N41" s="79">
        <f>134/300</f>
        <v>0.44666666666666666</v>
      </c>
      <c r="O41" s="79"/>
      <c r="P41" s="80"/>
      <c r="Q41" s="81">
        <v>230</v>
      </c>
      <c r="R41" s="81">
        <v>195</v>
      </c>
      <c r="S41" s="82">
        <f>195/230</f>
        <v>0.84782608695652173</v>
      </c>
      <c r="T41" s="141"/>
    </row>
    <row r="42" spans="1:22" ht="15.75" thickBot="1">
      <c r="A42" s="83" t="s">
        <v>42</v>
      </c>
      <c r="B42" s="84" t="s">
        <v>43</v>
      </c>
      <c r="C42" s="345">
        <v>502</v>
      </c>
      <c r="D42" s="346">
        <v>316</v>
      </c>
      <c r="E42" s="406">
        <v>0.63</v>
      </c>
      <c r="F42" s="347"/>
      <c r="G42" s="85">
        <v>632</v>
      </c>
      <c r="H42" s="85">
        <v>379</v>
      </c>
      <c r="I42" s="86">
        <f>379/632</f>
        <v>0.59968354430379744</v>
      </c>
      <c r="J42" s="86"/>
      <c r="K42" s="87"/>
      <c r="L42" s="88">
        <v>687</v>
      </c>
      <c r="M42" s="88">
        <v>429</v>
      </c>
      <c r="N42" s="89">
        <f>429/687</f>
        <v>0.62445414847161573</v>
      </c>
      <c r="O42" s="89"/>
      <c r="P42" s="90"/>
      <c r="Q42" s="91">
        <v>471</v>
      </c>
      <c r="R42" s="91">
        <v>322</v>
      </c>
      <c r="S42" s="92">
        <f>322/471</f>
        <v>0.68365180467091291</v>
      </c>
      <c r="T42" s="142"/>
    </row>
    <row r="43" spans="1:22" ht="15.75" thickBot="1">
      <c r="A43" s="40"/>
      <c r="B43" s="50"/>
      <c r="C43" s="50"/>
      <c r="D43" s="50"/>
      <c r="E43" s="50"/>
      <c r="F43" s="50"/>
      <c r="G43" s="30"/>
      <c r="H43" s="30"/>
      <c r="I43" s="93"/>
      <c r="J43" s="94"/>
      <c r="K43" s="94"/>
      <c r="L43" s="27"/>
      <c r="M43" s="30"/>
      <c r="N43" s="93"/>
      <c r="O43" s="93"/>
      <c r="P43" s="27"/>
      <c r="Q43" s="27"/>
      <c r="R43" s="30"/>
      <c r="S43" s="93"/>
      <c r="T43" s="93"/>
    </row>
    <row r="44" spans="1:22" ht="15.75" thickBot="1">
      <c r="A44" s="95" t="s">
        <v>1</v>
      </c>
      <c r="B44" s="96" t="s">
        <v>2</v>
      </c>
      <c r="C44" s="96"/>
      <c r="D44" s="96"/>
      <c r="E44" s="96"/>
      <c r="F44" s="96"/>
      <c r="G44" s="97"/>
      <c r="H44" s="97"/>
      <c r="I44" s="98"/>
      <c r="J44" s="98"/>
      <c r="K44" s="99"/>
      <c r="L44" s="97"/>
      <c r="M44" s="97"/>
      <c r="N44" s="98"/>
      <c r="O44" s="98"/>
      <c r="P44" s="97"/>
      <c r="Q44" s="97"/>
      <c r="R44" s="97"/>
      <c r="S44" s="98"/>
      <c r="T44" s="143"/>
    </row>
    <row r="45" spans="1:22" ht="15.75" thickBot="1">
      <c r="A45" s="100" t="s">
        <v>44</v>
      </c>
      <c r="B45" s="436"/>
      <c r="C45" s="332" t="s">
        <v>190</v>
      </c>
      <c r="D45" s="333" t="s">
        <v>5</v>
      </c>
      <c r="E45" s="333" t="s">
        <v>6</v>
      </c>
      <c r="F45" s="386"/>
      <c r="G45" s="17" t="s">
        <v>4</v>
      </c>
      <c r="H45" s="18" t="s">
        <v>5</v>
      </c>
      <c r="I45" s="19" t="s">
        <v>6</v>
      </c>
      <c r="J45" s="61"/>
      <c r="K45" s="437"/>
      <c r="L45" s="9" t="s">
        <v>4</v>
      </c>
      <c r="M45" s="22" t="s">
        <v>5</v>
      </c>
      <c r="N45" s="23" t="s">
        <v>6</v>
      </c>
      <c r="O45" s="23"/>
      <c r="P45" s="11"/>
      <c r="Q45" s="13" t="s">
        <v>4</v>
      </c>
      <c r="R45" s="25" t="s">
        <v>5</v>
      </c>
      <c r="S45" s="26" t="s">
        <v>6</v>
      </c>
      <c r="T45" s="138"/>
    </row>
    <row r="46" spans="1:22">
      <c r="A46" s="388" t="s">
        <v>198</v>
      </c>
      <c r="B46" s="271" t="s">
        <v>199</v>
      </c>
      <c r="C46" s="389">
        <v>13</v>
      </c>
      <c r="D46" s="390">
        <v>13</v>
      </c>
      <c r="E46" s="390">
        <v>100</v>
      </c>
      <c r="F46" s="348"/>
      <c r="G46" s="308">
        <v>8</v>
      </c>
      <c r="H46" s="309">
        <v>6</v>
      </c>
      <c r="I46" s="240">
        <f>6/8</f>
        <v>0.75</v>
      </c>
      <c r="J46" s="62"/>
      <c r="L46" s="438" t="s">
        <v>72</v>
      </c>
      <c r="M46" s="303"/>
      <c r="N46" s="64"/>
      <c r="O46" s="64"/>
      <c r="P46" s="28"/>
      <c r="Q46" s="439" t="s">
        <v>72</v>
      </c>
      <c r="R46" s="305"/>
      <c r="S46" s="306"/>
      <c r="T46" s="306"/>
    </row>
    <row r="47" spans="1:22">
      <c r="A47" s="171" t="s">
        <v>196</v>
      </c>
      <c r="B47" s="30" t="s">
        <v>73</v>
      </c>
      <c r="C47" s="323">
        <v>28</v>
      </c>
      <c r="D47" s="324">
        <v>27</v>
      </c>
      <c r="E47" s="324">
        <v>96</v>
      </c>
      <c r="F47" s="325"/>
      <c r="G47" s="41">
        <v>26</v>
      </c>
      <c r="H47" s="41">
        <v>25</v>
      </c>
      <c r="I47" s="67">
        <v>0.96</v>
      </c>
      <c r="J47" s="102"/>
      <c r="K47" s="65"/>
      <c r="L47" s="269">
        <v>24</v>
      </c>
      <c r="M47" s="269">
        <v>23</v>
      </c>
      <c r="N47" s="47">
        <f>23/24</f>
        <v>0.95833333333333337</v>
      </c>
      <c r="O47" s="47"/>
      <c r="P47" s="103"/>
      <c r="Q47" s="44">
        <v>21</v>
      </c>
      <c r="R47" s="44">
        <v>21</v>
      </c>
      <c r="S47" s="39">
        <v>1</v>
      </c>
      <c r="T47" s="435"/>
    </row>
    <row r="48" spans="1:22">
      <c r="A48" s="171" t="s">
        <v>197</v>
      </c>
      <c r="B48" s="30" t="s">
        <v>194</v>
      </c>
      <c r="C48" s="323">
        <v>19</v>
      </c>
      <c r="D48" s="324">
        <v>17</v>
      </c>
      <c r="E48" s="324">
        <v>89</v>
      </c>
      <c r="F48" s="325"/>
      <c r="G48" s="41">
        <v>26</v>
      </c>
      <c r="H48" s="41">
        <v>23</v>
      </c>
      <c r="I48" s="67">
        <f>23/26</f>
        <v>0.88461538461538458</v>
      </c>
      <c r="J48" s="102"/>
      <c r="K48" s="65"/>
      <c r="L48" s="269"/>
      <c r="M48" s="269"/>
      <c r="N48" s="47"/>
      <c r="O48" s="47"/>
      <c r="P48" s="103"/>
      <c r="Q48" s="176"/>
      <c r="R48" s="44"/>
      <c r="S48" s="39"/>
      <c r="T48" s="277"/>
    </row>
    <row r="49" spans="1:22" s="3" customFormat="1">
      <c r="A49" s="250" t="s">
        <v>74</v>
      </c>
      <c r="B49" s="174" t="s">
        <v>182</v>
      </c>
      <c r="C49" s="337">
        <v>48</v>
      </c>
      <c r="D49" s="336">
        <v>44</v>
      </c>
      <c r="E49" s="336">
        <v>91</v>
      </c>
      <c r="F49" s="338"/>
      <c r="G49" s="41" t="s">
        <v>72</v>
      </c>
      <c r="H49" s="41"/>
      <c r="I49" s="41"/>
      <c r="J49" s="102"/>
      <c r="K49" s="50"/>
      <c r="L49" s="269">
        <v>62</v>
      </c>
      <c r="M49" s="269">
        <v>39</v>
      </c>
      <c r="N49" s="47">
        <f>39/62</f>
        <v>0.62903225806451613</v>
      </c>
      <c r="O49" s="47"/>
      <c r="P49" s="271"/>
      <c r="Q49" s="177" t="s">
        <v>72</v>
      </c>
      <c r="R49" s="38"/>
      <c r="S49" s="68"/>
      <c r="T49" s="276"/>
      <c r="V49"/>
    </row>
    <row r="50" spans="1:22">
      <c r="A50" s="171" t="s">
        <v>75</v>
      </c>
      <c r="B50" s="30" t="s">
        <v>76</v>
      </c>
      <c r="C50" s="323">
        <v>40</v>
      </c>
      <c r="D50" s="324">
        <v>28</v>
      </c>
      <c r="E50" s="324">
        <v>70</v>
      </c>
      <c r="F50" s="325"/>
      <c r="G50" s="230">
        <v>39</v>
      </c>
      <c r="H50" s="230">
        <v>18</v>
      </c>
      <c r="I50" s="67">
        <v>0.46</v>
      </c>
      <c r="J50" s="102"/>
      <c r="K50" s="65"/>
      <c r="L50" s="269">
        <v>40</v>
      </c>
      <c r="M50" s="269">
        <v>26</v>
      </c>
      <c r="N50" s="47">
        <f>26/40</f>
        <v>0.65</v>
      </c>
      <c r="O50" s="47"/>
      <c r="P50" s="103"/>
      <c r="Q50" s="176">
        <v>35</v>
      </c>
      <c r="R50" s="44">
        <v>21</v>
      </c>
      <c r="S50" s="39">
        <f>21/35</f>
        <v>0.6</v>
      </c>
      <c r="T50" s="276"/>
      <c r="V50" s="3"/>
    </row>
    <row r="51" spans="1:22">
      <c r="A51" s="171" t="s">
        <v>77</v>
      </c>
      <c r="B51" s="30" t="s">
        <v>56</v>
      </c>
      <c r="C51" s="323">
        <v>57</v>
      </c>
      <c r="D51" s="324">
        <v>45</v>
      </c>
      <c r="E51" s="324">
        <v>78</v>
      </c>
      <c r="F51" s="325"/>
      <c r="G51" s="230">
        <v>47</v>
      </c>
      <c r="H51" s="230">
        <v>28</v>
      </c>
      <c r="I51" s="67">
        <v>0.59</v>
      </c>
      <c r="J51" s="102"/>
      <c r="K51" s="65"/>
      <c r="L51" s="269">
        <v>39</v>
      </c>
      <c r="M51" s="269">
        <v>21</v>
      </c>
      <c r="N51" s="47">
        <f>21/39</f>
        <v>0.53846153846153844</v>
      </c>
      <c r="O51" s="47"/>
      <c r="P51" s="103"/>
      <c r="Q51" s="176">
        <v>29</v>
      </c>
      <c r="R51" s="44">
        <v>18</v>
      </c>
      <c r="S51" s="39">
        <f>18/29</f>
        <v>0.62068965517241381</v>
      </c>
      <c r="T51" s="276"/>
    </row>
    <row r="52" spans="1:22" s="3" customFormat="1">
      <c r="A52" s="175" t="s">
        <v>78</v>
      </c>
      <c r="B52" s="27" t="s">
        <v>58</v>
      </c>
      <c r="C52" s="323">
        <v>56</v>
      </c>
      <c r="D52" s="324">
        <v>42</v>
      </c>
      <c r="E52" s="324">
        <v>75</v>
      </c>
      <c r="F52" s="325"/>
      <c r="G52" s="230">
        <v>71</v>
      </c>
      <c r="H52" s="230">
        <v>52</v>
      </c>
      <c r="I52" s="67">
        <v>0.73</v>
      </c>
      <c r="J52" s="102"/>
      <c r="K52" s="50"/>
      <c r="L52" s="269">
        <v>77</v>
      </c>
      <c r="M52" s="269">
        <v>63</v>
      </c>
      <c r="N52" s="47">
        <f>63/77</f>
        <v>0.81818181818181823</v>
      </c>
      <c r="O52" s="47"/>
      <c r="P52" s="271"/>
      <c r="Q52" s="176">
        <v>41</v>
      </c>
      <c r="R52" s="44">
        <v>28</v>
      </c>
      <c r="S52" s="39">
        <f>28/41</f>
        <v>0.68292682926829273</v>
      </c>
      <c r="T52" s="276"/>
      <c r="V52"/>
    </row>
    <row r="53" spans="1:22" s="3" customFormat="1">
      <c r="A53" s="175" t="s">
        <v>79</v>
      </c>
      <c r="B53" s="27" t="s">
        <v>80</v>
      </c>
      <c r="C53" s="323">
        <v>64</v>
      </c>
      <c r="D53" s="324">
        <v>48</v>
      </c>
      <c r="E53" s="324">
        <v>75</v>
      </c>
      <c r="F53" s="325"/>
      <c r="G53" s="230">
        <v>59</v>
      </c>
      <c r="H53" s="230">
        <v>42</v>
      </c>
      <c r="I53" s="67">
        <v>0.71</v>
      </c>
      <c r="J53" s="102"/>
      <c r="K53" s="50"/>
      <c r="L53" s="269">
        <v>76</v>
      </c>
      <c r="M53" s="269">
        <v>56</v>
      </c>
      <c r="N53" s="47">
        <f>56/76</f>
        <v>0.73684210526315785</v>
      </c>
      <c r="O53" s="47"/>
      <c r="P53" s="271"/>
      <c r="Q53" s="176">
        <v>39</v>
      </c>
      <c r="R53" s="44">
        <v>30</v>
      </c>
      <c r="S53" s="39">
        <f>30/39</f>
        <v>0.76923076923076927</v>
      </c>
      <c r="T53" s="276"/>
    </row>
    <row r="54" spans="1:22" s="3" customFormat="1">
      <c r="A54" s="175" t="s">
        <v>81</v>
      </c>
      <c r="B54" s="27" t="s">
        <v>82</v>
      </c>
      <c r="C54" s="323">
        <v>45</v>
      </c>
      <c r="D54" s="324">
        <v>37</v>
      </c>
      <c r="E54" s="324">
        <v>82</v>
      </c>
      <c r="F54" s="325"/>
      <c r="G54" s="105">
        <v>42</v>
      </c>
      <c r="H54" s="105">
        <v>29</v>
      </c>
      <c r="I54" s="45">
        <f>29/42</f>
        <v>0.69047619047619047</v>
      </c>
      <c r="J54" s="106"/>
      <c r="K54" s="248"/>
      <c r="L54" s="269">
        <v>52</v>
      </c>
      <c r="M54" s="269">
        <v>39</v>
      </c>
      <c r="N54" s="47">
        <f>39/52</f>
        <v>0.75</v>
      </c>
      <c r="O54" s="47"/>
      <c r="P54" s="271"/>
      <c r="Q54" s="176">
        <v>32</v>
      </c>
      <c r="R54" s="44">
        <v>26</v>
      </c>
      <c r="S54" s="39">
        <f>26/32</f>
        <v>0.8125</v>
      </c>
      <c r="T54" s="277"/>
    </row>
    <row r="55" spans="1:22">
      <c r="A55" s="172" t="s">
        <v>83</v>
      </c>
      <c r="B55" s="173" t="s">
        <v>84</v>
      </c>
      <c r="C55" s="337">
        <v>52</v>
      </c>
      <c r="D55" s="336">
        <v>33</v>
      </c>
      <c r="E55" s="336">
        <v>63</v>
      </c>
      <c r="F55" s="338"/>
      <c r="G55" s="230">
        <v>45</v>
      </c>
      <c r="H55" s="230">
        <v>22</v>
      </c>
      <c r="I55" s="45">
        <f>22/45</f>
        <v>0.48888888888888887</v>
      </c>
      <c r="J55" s="106"/>
      <c r="K55" s="46"/>
      <c r="L55" s="269">
        <v>51</v>
      </c>
      <c r="M55" s="269">
        <v>39</v>
      </c>
      <c r="N55" s="47">
        <f>39/51</f>
        <v>0.76470588235294112</v>
      </c>
      <c r="O55" s="47"/>
      <c r="P55" s="103"/>
      <c r="Q55" s="176">
        <v>42</v>
      </c>
      <c r="R55" s="44">
        <v>30</v>
      </c>
      <c r="S55" s="39">
        <f>30/42</f>
        <v>0.7142857142857143</v>
      </c>
      <c r="T55" s="277"/>
      <c r="V55" s="3"/>
    </row>
    <row r="56" spans="1:22">
      <c r="A56" s="171" t="s">
        <v>85</v>
      </c>
      <c r="B56" s="30" t="s">
        <v>86</v>
      </c>
      <c r="C56" s="323">
        <v>39</v>
      </c>
      <c r="D56" s="324">
        <v>24</v>
      </c>
      <c r="E56" s="324">
        <v>61</v>
      </c>
      <c r="F56" s="325"/>
      <c r="G56" s="230">
        <v>32</v>
      </c>
      <c r="H56" s="230">
        <v>18</v>
      </c>
      <c r="I56" s="67">
        <v>0.56000000000000005</v>
      </c>
      <c r="J56" s="102"/>
      <c r="K56" s="65"/>
      <c r="L56" s="269">
        <v>40</v>
      </c>
      <c r="M56" s="269">
        <v>29</v>
      </c>
      <c r="N56" s="47">
        <f>29/40</f>
        <v>0.72499999999999998</v>
      </c>
      <c r="O56" s="47"/>
      <c r="P56" s="103"/>
      <c r="Q56" s="176">
        <v>25</v>
      </c>
      <c r="R56" s="44">
        <v>14</v>
      </c>
      <c r="S56" s="39">
        <f>14/25</f>
        <v>0.56000000000000005</v>
      </c>
      <c r="T56" s="276"/>
    </row>
    <row r="57" spans="1:22">
      <c r="A57" s="171" t="s">
        <v>87</v>
      </c>
      <c r="B57" s="30" t="s">
        <v>88</v>
      </c>
      <c r="C57" s="323">
        <v>115</v>
      </c>
      <c r="D57" s="324">
        <v>90</v>
      </c>
      <c r="E57" s="324">
        <v>78</v>
      </c>
      <c r="F57" s="325"/>
      <c r="G57" s="41">
        <v>141</v>
      </c>
      <c r="H57" s="41">
        <v>106</v>
      </c>
      <c r="I57" s="67">
        <v>0.75</v>
      </c>
      <c r="J57" s="102"/>
      <c r="K57" s="65"/>
      <c r="L57" s="269">
        <v>154</v>
      </c>
      <c r="M57" s="269">
        <v>115</v>
      </c>
      <c r="N57" s="47">
        <f>115/154</f>
        <v>0.74675324675324672</v>
      </c>
      <c r="O57" s="270"/>
      <c r="P57" s="103"/>
      <c r="Q57" s="176">
        <v>134</v>
      </c>
      <c r="R57" s="44">
        <v>103</v>
      </c>
      <c r="S57" s="39">
        <f>103/134</f>
        <v>0.76865671641791045</v>
      </c>
      <c r="T57" s="277"/>
    </row>
    <row r="58" spans="1:22">
      <c r="A58" s="171" t="s">
        <v>89</v>
      </c>
      <c r="B58" s="30" t="s">
        <v>90</v>
      </c>
      <c r="C58" s="323">
        <v>165</v>
      </c>
      <c r="D58" s="324">
        <v>128</v>
      </c>
      <c r="E58" s="324">
        <v>77</v>
      </c>
      <c r="F58" s="325"/>
      <c r="G58" s="41">
        <v>212</v>
      </c>
      <c r="H58" s="41">
        <v>165</v>
      </c>
      <c r="I58" s="67">
        <v>0.78</v>
      </c>
      <c r="J58" s="102"/>
      <c r="K58" s="65"/>
      <c r="L58" s="269">
        <v>234</v>
      </c>
      <c r="M58" s="269">
        <v>186</v>
      </c>
      <c r="N58" s="47">
        <f>186/234</f>
        <v>0.79487179487179482</v>
      </c>
      <c r="O58" s="270"/>
      <c r="P58" s="103"/>
      <c r="Q58" s="176">
        <v>177</v>
      </c>
      <c r="R58" s="44">
        <v>142</v>
      </c>
      <c r="S58" s="39">
        <f>142/177</f>
        <v>0.80225988700564976</v>
      </c>
      <c r="T58" s="277"/>
    </row>
    <row r="59" spans="1:22" s="3" customFormat="1">
      <c r="A59" s="175" t="s">
        <v>91</v>
      </c>
      <c r="B59" s="27" t="s">
        <v>92</v>
      </c>
      <c r="C59" s="323">
        <v>67</v>
      </c>
      <c r="D59" s="324">
        <v>57</v>
      </c>
      <c r="E59" s="324">
        <v>85</v>
      </c>
      <c r="F59" s="325"/>
      <c r="G59" s="41">
        <v>75</v>
      </c>
      <c r="H59" s="41">
        <v>55</v>
      </c>
      <c r="I59" s="109">
        <f>55/75</f>
        <v>0.73333333333333328</v>
      </c>
      <c r="J59" s="108"/>
      <c r="K59" s="272"/>
      <c r="L59" s="269">
        <v>90</v>
      </c>
      <c r="M59" s="269">
        <v>67</v>
      </c>
      <c r="N59" s="47">
        <f>67/90</f>
        <v>0.74444444444444446</v>
      </c>
      <c r="O59" s="270"/>
      <c r="P59" s="271"/>
      <c r="Q59" s="176">
        <v>68</v>
      </c>
      <c r="R59" s="44">
        <v>53</v>
      </c>
      <c r="S59" s="39">
        <f>53/68</f>
        <v>0.77941176470588236</v>
      </c>
      <c r="T59" s="277"/>
      <c r="V59"/>
    </row>
    <row r="60" spans="1:22" s="3" customFormat="1">
      <c r="A60" s="175" t="s">
        <v>93</v>
      </c>
      <c r="B60" s="27" t="s">
        <v>94</v>
      </c>
      <c r="C60" s="323">
        <v>41</v>
      </c>
      <c r="D60" s="324">
        <v>41</v>
      </c>
      <c r="E60" s="324">
        <v>100</v>
      </c>
      <c r="F60" s="325"/>
      <c r="G60" s="41">
        <v>54</v>
      </c>
      <c r="H60" s="41">
        <v>36</v>
      </c>
      <c r="I60" s="45">
        <f>36/54</f>
        <v>0.66666666666666663</v>
      </c>
      <c r="J60" s="106"/>
      <c r="K60" s="248"/>
      <c r="L60" s="269">
        <v>63</v>
      </c>
      <c r="M60" s="269">
        <v>47</v>
      </c>
      <c r="N60" s="47">
        <f>47/63</f>
        <v>0.74603174603174605</v>
      </c>
      <c r="O60" s="47"/>
      <c r="P60" s="271"/>
      <c r="Q60" s="176">
        <v>52</v>
      </c>
      <c r="R60" s="44">
        <v>43</v>
      </c>
      <c r="S60" s="39">
        <f>43/52</f>
        <v>0.82692307692307687</v>
      </c>
      <c r="T60" s="277"/>
    </row>
    <row r="61" spans="1:22">
      <c r="A61" s="172" t="s">
        <v>95</v>
      </c>
      <c r="B61" s="173" t="s">
        <v>96</v>
      </c>
      <c r="C61" s="337">
        <v>46</v>
      </c>
      <c r="D61" s="336">
        <v>28</v>
      </c>
      <c r="E61" s="336">
        <v>60</v>
      </c>
      <c r="F61" s="338"/>
      <c r="G61" s="41">
        <v>87</v>
      </c>
      <c r="H61" s="41">
        <v>48</v>
      </c>
      <c r="I61" s="45">
        <f>48/87</f>
        <v>0.55172413793103448</v>
      </c>
      <c r="J61" s="106"/>
      <c r="K61" s="46"/>
      <c r="L61" s="269">
        <v>114</v>
      </c>
      <c r="M61" s="269">
        <v>76</v>
      </c>
      <c r="N61" s="47">
        <f>76/114</f>
        <v>0.66666666666666663</v>
      </c>
      <c r="O61" s="47"/>
      <c r="P61" s="103"/>
      <c r="Q61" s="176">
        <v>57</v>
      </c>
      <c r="R61" s="44">
        <v>43</v>
      </c>
      <c r="S61" s="39">
        <f>43/57</f>
        <v>0.75438596491228072</v>
      </c>
      <c r="T61" s="277"/>
      <c r="V61" s="3"/>
    </row>
    <row r="62" spans="1:22">
      <c r="A62" s="171" t="s">
        <v>97</v>
      </c>
      <c r="B62" s="30" t="s">
        <v>98</v>
      </c>
      <c r="C62" s="323">
        <v>70</v>
      </c>
      <c r="D62" s="324">
        <v>49</v>
      </c>
      <c r="E62" s="324">
        <v>70</v>
      </c>
      <c r="F62" s="325"/>
      <c r="G62" s="41">
        <v>108</v>
      </c>
      <c r="H62" s="41">
        <v>70</v>
      </c>
      <c r="I62" s="67">
        <v>0.65</v>
      </c>
      <c r="J62" s="102"/>
      <c r="K62" s="65"/>
      <c r="L62" s="269">
        <v>80</v>
      </c>
      <c r="M62" s="269">
        <v>54</v>
      </c>
      <c r="N62" s="47">
        <f>54/80</f>
        <v>0.67500000000000004</v>
      </c>
      <c r="O62" s="270"/>
      <c r="P62" s="103"/>
      <c r="Q62" s="176">
        <v>49</v>
      </c>
      <c r="R62" s="44">
        <v>30</v>
      </c>
      <c r="S62" s="39">
        <f>30/49</f>
        <v>0.61224489795918369</v>
      </c>
      <c r="T62" s="277"/>
    </row>
    <row r="63" spans="1:22">
      <c r="A63" s="171" t="s">
        <v>200</v>
      </c>
      <c r="B63" s="27" t="s">
        <v>201</v>
      </c>
      <c r="C63" s="323">
        <v>87</v>
      </c>
      <c r="D63" s="324">
        <v>61</v>
      </c>
      <c r="E63" s="324">
        <v>70</v>
      </c>
      <c r="F63" s="325"/>
      <c r="G63" s="41" t="s">
        <v>208</v>
      </c>
      <c r="H63" s="41"/>
      <c r="I63" s="67"/>
      <c r="J63" s="102"/>
      <c r="K63" s="65"/>
      <c r="L63" s="269" t="s">
        <v>208</v>
      </c>
      <c r="M63" s="269"/>
      <c r="N63" s="47"/>
      <c r="O63" s="270"/>
      <c r="P63" s="103"/>
      <c r="Q63" s="176" t="s">
        <v>208</v>
      </c>
      <c r="R63" s="44"/>
      <c r="S63" s="39"/>
      <c r="T63" s="277"/>
    </row>
    <row r="64" spans="1:22" s="3" customFormat="1">
      <c r="A64" s="175" t="s">
        <v>99</v>
      </c>
      <c r="B64" s="174" t="s">
        <v>100</v>
      </c>
      <c r="C64" s="337">
        <v>40</v>
      </c>
      <c r="D64" s="336">
        <v>36</v>
      </c>
      <c r="E64" s="336">
        <v>90</v>
      </c>
      <c r="F64" s="338"/>
      <c r="G64" s="41">
        <v>39</v>
      </c>
      <c r="H64" s="41">
        <v>36</v>
      </c>
      <c r="I64" s="67">
        <v>0.92</v>
      </c>
      <c r="J64" s="102"/>
      <c r="K64" s="50"/>
      <c r="L64" s="269">
        <v>97</v>
      </c>
      <c r="M64" s="269">
        <v>52</v>
      </c>
      <c r="N64" s="47">
        <f>52/97</f>
        <v>0.53608247422680411</v>
      </c>
      <c r="O64" s="270"/>
      <c r="P64" s="271"/>
      <c r="Q64" s="176">
        <v>65</v>
      </c>
      <c r="R64" s="44">
        <v>55</v>
      </c>
      <c r="S64" s="39">
        <f>55/65</f>
        <v>0.84615384615384615</v>
      </c>
      <c r="T64" s="277"/>
      <c r="V64"/>
    </row>
    <row r="65" spans="1:22" s="3" customFormat="1">
      <c r="A65" s="175" t="s">
        <v>101</v>
      </c>
      <c r="B65" s="174" t="s">
        <v>202</v>
      </c>
      <c r="C65" s="337">
        <v>21</v>
      </c>
      <c r="D65" s="336">
        <v>8</v>
      </c>
      <c r="E65" s="336">
        <v>38</v>
      </c>
      <c r="F65" s="338"/>
      <c r="G65" s="41">
        <v>34</v>
      </c>
      <c r="H65" s="41">
        <v>21</v>
      </c>
      <c r="I65" s="67">
        <v>0.62</v>
      </c>
      <c r="J65" s="102"/>
      <c r="K65" s="50"/>
      <c r="L65" s="269">
        <v>32</v>
      </c>
      <c r="M65" s="269">
        <v>14</v>
      </c>
      <c r="N65" s="47">
        <f>14/32</f>
        <v>0.4375</v>
      </c>
      <c r="O65" s="270"/>
      <c r="P65" s="271"/>
      <c r="Q65" s="176">
        <v>38</v>
      </c>
      <c r="R65" s="44">
        <v>30</v>
      </c>
      <c r="S65" s="39">
        <f>30/38</f>
        <v>0.78947368421052633</v>
      </c>
      <c r="T65" s="277"/>
    </row>
    <row r="66" spans="1:22" s="3" customFormat="1">
      <c r="A66" s="175" t="s">
        <v>102</v>
      </c>
      <c r="B66" s="27" t="s">
        <v>68</v>
      </c>
      <c r="C66" s="323">
        <v>88</v>
      </c>
      <c r="D66" s="324">
        <v>71</v>
      </c>
      <c r="E66" s="324">
        <v>80</v>
      </c>
      <c r="F66" s="325"/>
      <c r="G66" s="41">
        <v>58</v>
      </c>
      <c r="H66" s="41">
        <v>39</v>
      </c>
      <c r="I66" s="67">
        <v>0.67</v>
      </c>
      <c r="J66" s="102"/>
      <c r="K66" s="50"/>
      <c r="L66" s="269">
        <v>55</v>
      </c>
      <c r="M66" s="269">
        <v>38</v>
      </c>
      <c r="N66" s="47">
        <f>38/55</f>
        <v>0.69090909090909092</v>
      </c>
      <c r="O66" s="270"/>
      <c r="P66" s="271"/>
      <c r="Q66" s="176">
        <v>44</v>
      </c>
      <c r="R66" s="44">
        <v>36</v>
      </c>
      <c r="S66" s="39">
        <f>36/44</f>
        <v>0.81818181818181823</v>
      </c>
      <c r="T66" s="277"/>
    </row>
    <row r="67" spans="1:22">
      <c r="A67" s="171" t="s">
        <v>103</v>
      </c>
      <c r="B67" s="174" t="s">
        <v>104</v>
      </c>
      <c r="C67" s="337">
        <v>74</v>
      </c>
      <c r="D67" s="336">
        <v>58</v>
      </c>
      <c r="E67" s="336">
        <v>78</v>
      </c>
      <c r="F67" s="338"/>
      <c r="G67" s="41">
        <v>63</v>
      </c>
      <c r="H67" s="41">
        <v>37</v>
      </c>
      <c r="I67" s="67">
        <v>0.59</v>
      </c>
      <c r="J67" s="102"/>
      <c r="K67" s="65"/>
      <c r="L67" s="269">
        <v>83</v>
      </c>
      <c r="M67" s="269">
        <v>61</v>
      </c>
      <c r="N67" s="47">
        <f>61/83</f>
        <v>0.73493975903614461</v>
      </c>
      <c r="O67" s="270"/>
      <c r="P67" s="103"/>
      <c r="Q67" s="176">
        <v>56</v>
      </c>
      <c r="R67" s="44">
        <v>42</v>
      </c>
      <c r="S67" s="39">
        <f>42/56</f>
        <v>0.75</v>
      </c>
      <c r="T67" s="277"/>
      <c r="V67" s="3"/>
    </row>
    <row r="68" spans="1:22" s="3" customFormat="1">
      <c r="A68" s="175" t="s">
        <v>170</v>
      </c>
      <c r="B68" s="212" t="s">
        <v>171</v>
      </c>
      <c r="C68" s="326">
        <v>44</v>
      </c>
      <c r="D68" s="327">
        <v>32</v>
      </c>
      <c r="E68" s="327">
        <v>73</v>
      </c>
      <c r="F68" s="328"/>
      <c r="G68" s="41">
        <v>46</v>
      </c>
      <c r="H68" s="41">
        <v>25</v>
      </c>
      <c r="I68" s="67">
        <v>0.54</v>
      </c>
      <c r="J68" s="102"/>
      <c r="K68" s="50"/>
      <c r="L68" s="269" t="s">
        <v>72</v>
      </c>
      <c r="M68" s="269"/>
      <c r="N68" s="47"/>
      <c r="O68" s="270"/>
      <c r="P68" s="271"/>
      <c r="Q68" s="176">
        <v>43</v>
      </c>
      <c r="R68" s="44">
        <v>30</v>
      </c>
      <c r="S68" s="39">
        <f>30/46</f>
        <v>0.65217391304347827</v>
      </c>
      <c r="T68" s="277"/>
      <c r="V68"/>
    </row>
    <row r="69" spans="1:22" s="3" customFormat="1">
      <c r="A69" s="175" t="s">
        <v>105</v>
      </c>
      <c r="B69" s="174" t="s">
        <v>106</v>
      </c>
      <c r="C69" s="337">
        <v>57</v>
      </c>
      <c r="D69" s="336">
        <v>35</v>
      </c>
      <c r="E69" s="336">
        <v>61</v>
      </c>
      <c r="F69" s="338"/>
      <c r="G69" s="41">
        <v>53</v>
      </c>
      <c r="H69" s="41">
        <v>38</v>
      </c>
      <c r="I69" s="67">
        <v>0.72</v>
      </c>
      <c r="J69" s="102"/>
      <c r="K69" s="50"/>
      <c r="L69" s="269">
        <v>45</v>
      </c>
      <c r="M69" s="269">
        <v>30</v>
      </c>
      <c r="N69" s="47">
        <f>30/45</f>
        <v>0.66666666666666663</v>
      </c>
      <c r="O69" s="270"/>
      <c r="P69" s="271"/>
      <c r="Q69" s="176">
        <v>41</v>
      </c>
      <c r="R69" s="44">
        <v>28</v>
      </c>
      <c r="S69" s="39">
        <f>28/41</f>
        <v>0.68292682926829273</v>
      </c>
      <c r="T69" s="277"/>
      <c r="V69"/>
    </row>
    <row r="70" spans="1:22" s="3" customFormat="1">
      <c r="A70" s="175" t="s">
        <v>107</v>
      </c>
      <c r="B70" s="174" t="s">
        <v>108</v>
      </c>
      <c r="C70" s="337" t="s">
        <v>72</v>
      </c>
      <c r="D70" s="336"/>
      <c r="E70" s="336"/>
      <c r="F70" s="338"/>
      <c r="G70" s="41">
        <v>8</v>
      </c>
      <c r="H70" s="41">
        <v>2</v>
      </c>
      <c r="I70" s="67">
        <v>0.25</v>
      </c>
      <c r="J70" s="102"/>
      <c r="K70" s="50"/>
      <c r="L70" s="269">
        <v>15</v>
      </c>
      <c r="M70" s="269">
        <v>8</v>
      </c>
      <c r="N70" s="47">
        <f>8/15</f>
        <v>0.53333333333333333</v>
      </c>
      <c r="O70" s="270"/>
      <c r="P70" s="271"/>
      <c r="Q70" s="44">
        <v>19</v>
      </c>
      <c r="R70" s="44">
        <v>9</v>
      </c>
      <c r="S70" s="68">
        <f>9/19</f>
        <v>0.47368421052631576</v>
      </c>
      <c r="T70" s="277"/>
    </row>
    <row r="71" spans="1:22">
      <c r="A71" s="175" t="s">
        <v>109</v>
      </c>
      <c r="B71" s="174" t="s">
        <v>110</v>
      </c>
      <c r="C71" s="337">
        <v>77</v>
      </c>
      <c r="D71" s="336">
        <v>56</v>
      </c>
      <c r="E71" s="336">
        <v>72</v>
      </c>
      <c r="F71" s="338"/>
      <c r="G71" s="41">
        <v>101</v>
      </c>
      <c r="H71" s="41">
        <v>58</v>
      </c>
      <c r="I71" s="67">
        <v>0.56999999999999995</v>
      </c>
      <c r="J71" s="102"/>
      <c r="K71" s="65"/>
      <c r="L71" s="269">
        <v>119</v>
      </c>
      <c r="M71" s="269">
        <v>75</v>
      </c>
      <c r="N71" s="47">
        <f>75/119</f>
        <v>0.63025210084033612</v>
      </c>
      <c r="O71" s="270"/>
      <c r="P71" s="103"/>
      <c r="Q71" s="176">
        <v>92</v>
      </c>
      <c r="R71" s="44">
        <v>65</v>
      </c>
      <c r="S71" s="39">
        <f>65/92</f>
        <v>0.70652173913043481</v>
      </c>
      <c r="T71" s="277"/>
      <c r="V71" s="3"/>
    </row>
    <row r="72" spans="1:22" ht="15.75" thickBot="1">
      <c r="A72" s="29" t="s">
        <v>112</v>
      </c>
      <c r="B72" s="174" t="s">
        <v>111</v>
      </c>
      <c r="C72" s="337">
        <v>52</v>
      </c>
      <c r="D72" s="336">
        <v>29</v>
      </c>
      <c r="E72" s="336">
        <v>55</v>
      </c>
      <c r="F72" s="338"/>
      <c r="G72" s="105">
        <v>63</v>
      </c>
      <c r="H72" s="273">
        <v>42</v>
      </c>
      <c r="I72" s="274">
        <f>42/63</f>
        <v>0.66666666666666663</v>
      </c>
      <c r="J72" s="275"/>
      <c r="K72" s="110"/>
      <c r="L72" s="233">
        <v>77</v>
      </c>
      <c r="M72" s="233">
        <v>56</v>
      </c>
      <c r="N72" s="47">
        <f>56/77</f>
        <v>0.72727272727272729</v>
      </c>
      <c r="O72" s="107"/>
      <c r="P72" s="103"/>
      <c r="Q72" s="278" t="s">
        <v>72</v>
      </c>
      <c r="R72" s="210"/>
      <c r="S72" s="206"/>
      <c r="T72" s="279"/>
    </row>
    <row r="73" spans="1:22" ht="15.75" thickBot="1">
      <c r="A73" s="111"/>
      <c r="B73" s="112"/>
      <c r="C73" s="339">
        <f>SUM(C46:C72)</f>
        <v>1505</v>
      </c>
      <c r="D73" s="340">
        <f>SUM(D46:D72)</f>
        <v>1137</v>
      </c>
      <c r="E73" s="391">
        <v>0.75</v>
      </c>
      <c r="F73" s="341"/>
      <c r="G73" s="113">
        <f>SUM(G47:G72)</f>
        <v>1529</v>
      </c>
      <c r="H73" s="113">
        <f>SUM(H47:H72)</f>
        <v>1035</v>
      </c>
      <c r="I73" s="6">
        <f>1041/1536</f>
        <v>0.677734375</v>
      </c>
      <c r="J73" s="70"/>
      <c r="K73" s="7"/>
      <c r="L73" s="9">
        <f>SUM(L47:L72)</f>
        <v>1719</v>
      </c>
      <c r="M73" s="9">
        <f>SUM(M47:M72)</f>
        <v>1214</v>
      </c>
      <c r="N73" s="10">
        <f>1360/1904</f>
        <v>0.7142857142857143</v>
      </c>
      <c r="O73" s="10"/>
      <c r="P73" s="11"/>
      <c r="Q73" s="24">
        <v>1274</v>
      </c>
      <c r="R73" s="13">
        <v>959</v>
      </c>
      <c r="S73" s="14">
        <f>959/1274</f>
        <v>0.75274725274725274</v>
      </c>
      <c r="T73" s="115"/>
    </row>
    <row r="74" spans="1:22" ht="15.75" thickBot="1">
      <c r="A74" s="104"/>
      <c r="B74" s="116"/>
      <c r="C74" s="116"/>
      <c r="D74" s="116"/>
      <c r="E74" s="116"/>
      <c r="F74" s="116"/>
      <c r="G74" s="57"/>
      <c r="H74" s="57"/>
      <c r="I74" s="72"/>
      <c r="J74" s="72"/>
      <c r="K74" s="72"/>
      <c r="L74" s="57"/>
      <c r="M74" s="57"/>
      <c r="N74" s="72"/>
      <c r="O74" s="72"/>
      <c r="P74" s="71"/>
      <c r="Q74" s="71"/>
      <c r="R74" s="71"/>
      <c r="S74" s="72"/>
      <c r="T74" s="72"/>
    </row>
    <row r="75" spans="1:22">
      <c r="A75" s="73" t="s">
        <v>40</v>
      </c>
      <c r="B75" s="405" t="s">
        <v>41</v>
      </c>
      <c r="C75" s="399">
        <v>734</v>
      </c>
      <c r="D75" s="400">
        <v>574</v>
      </c>
      <c r="E75" s="433">
        <v>0.78</v>
      </c>
      <c r="F75" s="401"/>
      <c r="G75" s="75">
        <v>566</v>
      </c>
      <c r="H75" s="75">
        <v>431</v>
      </c>
      <c r="I75" s="76">
        <f>431/566</f>
        <v>0.7614840989399293</v>
      </c>
      <c r="J75" s="76"/>
      <c r="K75" s="77"/>
      <c r="L75" s="78">
        <v>702</v>
      </c>
      <c r="M75" s="78">
        <v>489</v>
      </c>
      <c r="N75" s="79">
        <f>489/702</f>
        <v>0.69658119658119655</v>
      </c>
      <c r="O75" s="79"/>
      <c r="P75" s="80"/>
      <c r="Q75" s="81">
        <v>524</v>
      </c>
      <c r="R75" s="81">
        <v>405</v>
      </c>
      <c r="S75" s="82">
        <f>405/524</f>
        <v>0.77290076335877866</v>
      </c>
      <c r="T75" s="141"/>
    </row>
    <row r="76" spans="1:22" ht="15.75" thickBot="1">
      <c r="A76" s="83" t="s">
        <v>45</v>
      </c>
      <c r="B76" s="396" t="s">
        <v>43</v>
      </c>
      <c r="C76" s="402">
        <v>828</v>
      </c>
      <c r="D76" s="403">
        <v>608</v>
      </c>
      <c r="E76" s="434">
        <v>0.73</v>
      </c>
      <c r="F76" s="404"/>
      <c r="G76" s="85">
        <v>970</v>
      </c>
      <c r="H76" s="85">
        <v>610</v>
      </c>
      <c r="I76" s="86">
        <f>610/970</f>
        <v>0.62886597938144329</v>
      </c>
      <c r="J76" s="86"/>
      <c r="K76" s="87"/>
      <c r="L76" s="117">
        <v>1203</v>
      </c>
      <c r="M76" s="117">
        <v>872</v>
      </c>
      <c r="N76" s="118">
        <f>872/1203</f>
        <v>0.7248545303408146</v>
      </c>
      <c r="O76" s="89"/>
      <c r="P76" s="90"/>
      <c r="Q76" s="91">
        <v>750</v>
      </c>
      <c r="R76" s="91">
        <v>554</v>
      </c>
      <c r="S76" s="92">
        <f>554/750</f>
        <v>0.73866666666666669</v>
      </c>
      <c r="T76" s="142"/>
    </row>
    <row r="77" spans="1:22" ht="15.75" thickBot="1">
      <c r="A77" s="57"/>
      <c r="B77" s="57"/>
      <c r="C77" s="57"/>
      <c r="D77" s="57"/>
      <c r="E77" s="57"/>
      <c r="F77" s="57"/>
      <c r="G77" s="71"/>
      <c r="H77" s="71"/>
      <c r="I77" s="72"/>
      <c r="J77" s="72"/>
      <c r="K77" s="72"/>
      <c r="L77" s="119"/>
      <c r="M77" s="119"/>
      <c r="N77" s="120"/>
      <c r="O77" s="72"/>
      <c r="P77" s="71"/>
      <c r="Q77" s="71"/>
      <c r="R77" s="71"/>
      <c r="S77" s="72"/>
    </row>
    <row r="78" spans="1:22">
      <c r="A78" s="121" t="s">
        <v>204</v>
      </c>
      <c r="B78" s="122"/>
      <c r="C78" s="392"/>
      <c r="D78" s="123">
        <v>551</v>
      </c>
      <c r="E78" s="368"/>
      <c r="F78" s="368"/>
      <c r="G78" s="123"/>
      <c r="H78" s="123">
        <v>589</v>
      </c>
      <c r="I78" s="124"/>
      <c r="J78" s="124"/>
      <c r="K78" s="124"/>
      <c r="L78" s="125"/>
      <c r="M78" s="125">
        <v>563</v>
      </c>
      <c r="N78" s="126"/>
      <c r="O78" s="124"/>
      <c r="P78" s="123"/>
      <c r="Q78" s="123"/>
      <c r="R78" s="123">
        <v>517</v>
      </c>
      <c r="S78" s="127"/>
      <c r="V78" s="442"/>
    </row>
    <row r="79" spans="1:22">
      <c r="A79" s="128" t="s">
        <v>203</v>
      </c>
      <c r="B79" s="129"/>
      <c r="C79" s="314"/>
      <c r="D79" s="59">
        <v>1137</v>
      </c>
      <c r="E79" s="34"/>
      <c r="F79" s="34"/>
      <c r="G79" s="34"/>
      <c r="H79" s="59">
        <v>1041</v>
      </c>
      <c r="I79" s="34"/>
      <c r="J79" s="34"/>
      <c r="K79" s="34"/>
      <c r="L79" s="34"/>
      <c r="M79" s="59">
        <v>1361</v>
      </c>
      <c r="N79" s="34"/>
      <c r="O79" s="34"/>
      <c r="P79" s="34"/>
      <c r="Q79" s="34"/>
      <c r="R79" s="59">
        <v>959</v>
      </c>
      <c r="S79" s="36"/>
    </row>
    <row r="80" spans="1:22" ht="15.75" thickBot="1">
      <c r="A80" s="130" t="s">
        <v>205</v>
      </c>
      <c r="B80" s="129"/>
      <c r="C80" s="318"/>
      <c r="D80" s="132">
        <f>SUM(D78:D79)</f>
        <v>1688</v>
      </c>
      <c r="E80" s="131"/>
      <c r="F80" s="131"/>
      <c r="G80" s="131"/>
      <c r="H80" s="132">
        <f>SUM(H78:H79)</f>
        <v>1630</v>
      </c>
      <c r="I80" s="131"/>
      <c r="J80" s="131"/>
      <c r="K80" s="131"/>
      <c r="L80" s="131"/>
      <c r="M80" s="132">
        <f>SUM(M78:M79)</f>
        <v>1924</v>
      </c>
      <c r="N80" s="131"/>
      <c r="O80" s="131"/>
      <c r="P80" s="131"/>
      <c r="Q80" s="131"/>
      <c r="R80" s="132">
        <f>SUM(R78:R79)</f>
        <v>1476</v>
      </c>
      <c r="S80" s="133"/>
    </row>
    <row r="81" spans="1:20" ht="15.75" thickBot="1">
      <c r="A81" s="83" t="s">
        <v>206</v>
      </c>
      <c r="B81" s="393"/>
      <c r="C81" s="394"/>
      <c r="D81" s="169">
        <v>2091</v>
      </c>
      <c r="E81" s="151"/>
      <c r="F81" s="151"/>
      <c r="G81" s="151"/>
      <c r="H81" s="169">
        <v>2379</v>
      </c>
      <c r="I81" s="151"/>
      <c r="J81" s="151"/>
      <c r="K81" s="151"/>
      <c r="L81" s="151"/>
      <c r="M81" s="169">
        <v>2561</v>
      </c>
      <c r="N81" s="151"/>
      <c r="O81" s="151"/>
      <c r="P81" s="151"/>
      <c r="Q81" s="151"/>
      <c r="R81" s="169">
        <v>2290</v>
      </c>
      <c r="S81" s="156"/>
    </row>
    <row r="82" spans="1:20" ht="15.75" thickBot="1">
      <c r="A82" s="83" t="s">
        <v>207</v>
      </c>
      <c r="B82" s="312"/>
      <c r="C82" s="398"/>
      <c r="D82" s="312">
        <v>3779</v>
      </c>
      <c r="E82" s="312"/>
      <c r="F82" s="395"/>
      <c r="G82" s="312"/>
      <c r="H82" s="396">
        <v>4495</v>
      </c>
      <c r="I82" s="396"/>
      <c r="J82" s="396"/>
      <c r="K82" s="312"/>
      <c r="L82" s="312"/>
      <c r="M82" s="312">
        <v>4485</v>
      </c>
      <c r="N82" s="393"/>
      <c r="O82" s="312"/>
      <c r="P82" s="312"/>
      <c r="Q82" s="312"/>
      <c r="R82" s="395">
        <v>3766</v>
      </c>
      <c r="S82" s="397"/>
      <c r="T82" s="27"/>
    </row>
    <row r="83" spans="1:20" ht="15.75" thickBot="1">
      <c r="A83" s="57"/>
      <c r="B83" s="71"/>
      <c r="C83" s="71"/>
      <c r="D83" s="71"/>
      <c r="E83" s="71"/>
      <c r="F83" s="71"/>
      <c r="G83" s="71"/>
      <c r="H83" s="71"/>
      <c r="I83" s="57"/>
      <c r="J83" s="57"/>
      <c r="K83" s="71"/>
      <c r="L83" s="71"/>
      <c r="M83" s="71"/>
      <c r="N83" s="71"/>
      <c r="O83" s="71"/>
      <c r="P83" s="71"/>
      <c r="Q83" s="71"/>
      <c r="R83" s="71"/>
      <c r="S83" s="71"/>
      <c r="T83" s="27"/>
    </row>
    <row r="84" spans="1:20" ht="15.75" thickBot="1">
      <c r="A84" s="100" t="s">
        <v>180</v>
      </c>
      <c r="B84" s="408"/>
      <c r="C84" s="50"/>
      <c r="D84" s="50"/>
      <c r="E84" s="50"/>
      <c r="F84" s="50"/>
      <c r="G84" s="50"/>
      <c r="H84" s="50"/>
      <c r="I84" s="50"/>
      <c r="J84" s="50"/>
      <c r="K84" s="50"/>
      <c r="L84" s="50"/>
      <c r="M84" s="94"/>
      <c r="N84" s="27"/>
      <c r="O84" s="27"/>
      <c r="P84" s="27"/>
      <c r="Q84" s="27"/>
      <c r="R84" s="27"/>
      <c r="S84" s="94"/>
      <c r="T84" s="27"/>
    </row>
    <row r="85" spans="1:20">
      <c r="A85" s="281" t="s">
        <v>184</v>
      </c>
      <c r="B85" s="260" t="s">
        <v>185</v>
      </c>
      <c r="C85" s="409">
        <v>106</v>
      </c>
      <c r="D85" s="410">
        <v>62</v>
      </c>
      <c r="E85" s="411">
        <v>0.57999999999999996</v>
      </c>
      <c r="F85" s="412"/>
      <c r="G85" s="413">
        <v>105</v>
      </c>
      <c r="H85" s="413">
        <v>58</v>
      </c>
      <c r="I85" s="414">
        <v>0.55000000000000004</v>
      </c>
      <c r="J85" s="413"/>
      <c r="K85" s="415"/>
      <c r="L85" s="416" t="s">
        <v>186</v>
      </c>
      <c r="M85" s="416"/>
      <c r="N85" s="417"/>
      <c r="O85" s="417"/>
      <c r="P85" s="80"/>
      <c r="Q85" s="418" t="s">
        <v>186</v>
      </c>
      <c r="R85" s="419"/>
      <c r="S85" s="420"/>
      <c r="T85" s="248"/>
    </row>
    <row r="86" spans="1:20" ht="15.75" thickBot="1">
      <c r="A86" s="261" t="s">
        <v>39</v>
      </c>
      <c r="B86" s="261" t="s">
        <v>71</v>
      </c>
      <c r="C86" s="421">
        <v>180</v>
      </c>
      <c r="D86" s="422">
        <v>119</v>
      </c>
      <c r="E86" s="423">
        <v>0.66</v>
      </c>
      <c r="F86" s="424"/>
      <c r="G86" s="425">
        <v>204</v>
      </c>
      <c r="H86" s="425">
        <v>144</v>
      </c>
      <c r="I86" s="426">
        <f>144/204</f>
        <v>0.70588235294117652</v>
      </c>
      <c r="J86" s="426"/>
      <c r="K86" s="427"/>
      <c r="L86" s="428">
        <v>200</v>
      </c>
      <c r="M86" s="428">
        <v>153</v>
      </c>
      <c r="N86" s="429">
        <f>153/200</f>
        <v>0.76500000000000001</v>
      </c>
      <c r="O86" s="429"/>
      <c r="P86" s="90"/>
      <c r="Q86" s="430">
        <v>164</v>
      </c>
      <c r="R86" s="431">
        <v>111</v>
      </c>
      <c r="S86" s="432">
        <f>111/164</f>
        <v>0.67682926829268297</v>
      </c>
      <c r="T86" s="248"/>
    </row>
    <row r="87" spans="1:20" ht="15.75" thickBot="1">
      <c r="A87" s="243"/>
      <c r="B87" s="259"/>
      <c r="C87" s="30"/>
      <c r="D87" s="30"/>
      <c r="E87" s="30"/>
      <c r="F87" s="30"/>
      <c r="G87" s="50"/>
      <c r="H87" s="50"/>
      <c r="I87" s="248"/>
      <c r="J87" s="248"/>
      <c r="K87" s="248"/>
      <c r="L87" s="50"/>
      <c r="M87" s="50"/>
      <c r="N87" s="248"/>
      <c r="O87" s="248"/>
      <c r="P87" s="27"/>
      <c r="Q87" s="174"/>
      <c r="R87" s="174"/>
      <c r="S87" s="355"/>
      <c r="T87" s="248"/>
    </row>
    <row r="88" spans="1:20" ht="15.75" thickBot="1">
      <c r="A88" s="100" t="s">
        <v>47</v>
      </c>
      <c r="B88" s="134" t="s">
        <v>48</v>
      </c>
      <c r="C88" s="349"/>
      <c r="D88" s="350" t="s">
        <v>46</v>
      </c>
      <c r="E88" s="350">
        <v>150</v>
      </c>
      <c r="F88" s="351"/>
      <c r="G88" s="349"/>
      <c r="H88" s="350" t="s">
        <v>46</v>
      </c>
      <c r="I88" s="350"/>
      <c r="J88" s="316">
        <v>179</v>
      </c>
      <c r="K88" s="350"/>
      <c r="L88" s="349"/>
      <c r="M88" s="350" t="s">
        <v>46</v>
      </c>
      <c r="N88" s="315">
        <v>183</v>
      </c>
      <c r="O88" s="316"/>
      <c r="P88" s="315"/>
      <c r="Q88" s="350"/>
      <c r="R88" s="350" t="s">
        <v>46</v>
      </c>
      <c r="S88" s="356">
        <v>168</v>
      </c>
      <c r="T88" s="27"/>
    </row>
    <row r="89" spans="1:20" ht="15.75" thickBot="1">
      <c r="A89" s="100" t="s">
        <v>49</v>
      </c>
      <c r="B89" s="134" t="s">
        <v>50</v>
      </c>
      <c r="C89" s="352"/>
      <c r="D89" s="353" t="s">
        <v>46</v>
      </c>
      <c r="E89" s="353" t="s">
        <v>211</v>
      </c>
      <c r="F89" s="354"/>
      <c r="G89" s="352"/>
      <c r="H89" s="353" t="s">
        <v>46</v>
      </c>
      <c r="I89" s="353"/>
      <c r="J89" s="360">
        <v>18</v>
      </c>
      <c r="K89" s="358"/>
      <c r="L89" s="352"/>
      <c r="M89" s="353" t="s">
        <v>46</v>
      </c>
      <c r="N89" s="357">
        <v>18</v>
      </c>
      <c r="O89" s="360"/>
      <c r="P89" s="357"/>
      <c r="Q89" s="357"/>
      <c r="R89" s="353" t="s">
        <v>46</v>
      </c>
      <c r="S89" s="359">
        <v>14</v>
      </c>
      <c r="T89" s="27"/>
    </row>
    <row r="90" spans="1:20" ht="15.75" thickBot="1">
      <c r="A90" s="50"/>
      <c r="B90" s="50"/>
      <c r="C90" s="50"/>
      <c r="D90" s="50"/>
      <c r="E90" s="50"/>
      <c r="F90" s="50"/>
      <c r="G90" s="50"/>
      <c r="H90" s="50"/>
      <c r="I90" s="50"/>
      <c r="J90" s="50"/>
      <c r="K90" s="27"/>
      <c r="L90" s="27"/>
      <c r="M90" s="27"/>
      <c r="N90" s="27"/>
      <c r="O90" s="27"/>
      <c r="P90" s="27"/>
      <c r="Q90" s="27"/>
      <c r="R90" s="27"/>
      <c r="S90" s="27"/>
    </row>
    <row r="91" spans="1:20" ht="15.75" thickBot="1">
      <c r="A91" s="100" t="s">
        <v>51</v>
      </c>
      <c r="B91" s="16"/>
      <c r="C91" s="317"/>
      <c r="D91" s="457" t="s">
        <v>46</v>
      </c>
      <c r="E91" s="136" t="s">
        <v>209</v>
      </c>
      <c r="F91" s="317"/>
      <c r="G91" s="135"/>
      <c r="H91" s="135" t="s">
        <v>46</v>
      </c>
      <c r="I91" s="135">
        <v>191</v>
      </c>
      <c r="J91" s="135"/>
      <c r="K91" s="136"/>
      <c r="L91" s="136"/>
      <c r="M91" s="136" t="s">
        <v>46</v>
      </c>
      <c r="N91" s="136">
        <v>211</v>
      </c>
      <c r="O91" s="136"/>
      <c r="P91" s="136"/>
      <c r="Q91" s="136"/>
      <c r="R91" s="136" t="s">
        <v>46</v>
      </c>
      <c r="S91" s="137">
        <v>193</v>
      </c>
    </row>
    <row r="92" spans="1:20">
      <c r="E92" t="s">
        <v>210</v>
      </c>
      <c r="J92" s="27"/>
      <c r="K92" s="27"/>
      <c r="L92" s="27"/>
    </row>
    <row r="93" spans="1:20">
      <c r="A93" s="50"/>
      <c r="B93" s="57"/>
      <c r="C93" s="57"/>
      <c r="D93" s="57"/>
      <c r="E93" s="57"/>
      <c r="F93" s="57"/>
      <c r="G93" s="57"/>
      <c r="H93" s="101"/>
      <c r="I93" s="57"/>
      <c r="J93" s="57"/>
      <c r="K93" s="27"/>
      <c r="L93" s="27"/>
      <c r="M93" s="27"/>
      <c r="N93" s="27"/>
      <c r="O93" s="27"/>
      <c r="P93" s="27"/>
      <c r="Q93" s="27"/>
      <c r="R93" s="27"/>
      <c r="S93" s="2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zoomScaleNormal="100" workbookViewId="0">
      <selection activeCell="O27" sqref="O27"/>
    </sheetView>
  </sheetViews>
  <sheetFormatPr defaultRowHeight="15"/>
  <cols>
    <col min="1" max="1" width="11.42578125" customWidth="1"/>
  </cols>
  <sheetData>
    <row r="1" spans="1:15">
      <c r="A1" s="1" t="s">
        <v>113</v>
      </c>
      <c r="I1" s="178"/>
    </row>
    <row r="2" spans="1:15" ht="15.75" thickBot="1">
      <c r="I2" s="178"/>
    </row>
    <row r="3" spans="1:15" ht="15.75" thickBot="1">
      <c r="A3" s="179"/>
      <c r="B3" s="180"/>
      <c r="C3" s="181"/>
      <c r="D3" s="364"/>
      <c r="E3" s="369" t="s">
        <v>189</v>
      </c>
      <c r="F3" s="364"/>
      <c r="G3" s="182"/>
      <c r="H3" s="75" t="s">
        <v>52</v>
      </c>
      <c r="I3" s="292"/>
      <c r="J3" s="78"/>
      <c r="K3" s="78" t="s">
        <v>53</v>
      </c>
      <c r="L3" s="78"/>
      <c r="M3" s="283"/>
      <c r="N3" s="81" t="s">
        <v>54</v>
      </c>
      <c r="O3" s="285"/>
    </row>
    <row r="4" spans="1:15" ht="15.75" thickBot="1">
      <c r="A4" s="185" t="s">
        <v>114</v>
      </c>
      <c r="B4" s="16"/>
      <c r="C4" s="186"/>
      <c r="D4" s="370" t="s">
        <v>190</v>
      </c>
      <c r="E4" s="371" t="s">
        <v>5</v>
      </c>
      <c r="F4" s="370" t="s">
        <v>6</v>
      </c>
      <c r="G4" s="17" t="s">
        <v>4</v>
      </c>
      <c r="H4" s="18" t="s">
        <v>5</v>
      </c>
      <c r="I4" s="293" t="s">
        <v>6</v>
      </c>
      <c r="J4" s="9" t="s">
        <v>4</v>
      </c>
      <c r="K4" s="22" t="s">
        <v>5</v>
      </c>
      <c r="L4" s="23" t="s">
        <v>6</v>
      </c>
      <c r="M4" s="24" t="s">
        <v>4</v>
      </c>
      <c r="N4" s="25" t="s">
        <v>5</v>
      </c>
      <c r="O4" s="138" t="s">
        <v>6</v>
      </c>
    </row>
    <row r="5" spans="1:15">
      <c r="A5" s="48" t="s">
        <v>157</v>
      </c>
      <c r="B5" s="40" t="s">
        <v>156</v>
      </c>
      <c r="C5" s="189"/>
      <c r="D5" s="365">
        <v>165</v>
      </c>
      <c r="E5" s="365">
        <v>154</v>
      </c>
      <c r="F5" s="365"/>
      <c r="G5" s="231">
        <v>146</v>
      </c>
      <c r="H5" s="41">
        <v>142</v>
      </c>
      <c r="I5" s="294"/>
      <c r="J5" s="42">
        <v>153</v>
      </c>
      <c r="K5" s="42">
        <v>140</v>
      </c>
      <c r="L5" s="35">
        <f>140/153</f>
        <v>0.91503267973856206</v>
      </c>
      <c r="M5" s="176">
        <v>142</v>
      </c>
      <c r="N5" s="44">
        <v>122</v>
      </c>
      <c r="O5" s="296">
        <f>122/142</f>
        <v>0.85915492957746475</v>
      </c>
    </row>
    <row r="6" spans="1:15">
      <c r="A6" s="48" t="s">
        <v>158</v>
      </c>
      <c r="B6" s="50" t="s">
        <v>159</v>
      </c>
      <c r="C6" s="189"/>
      <c r="D6" s="365">
        <v>110</v>
      </c>
      <c r="E6" s="365">
        <v>104</v>
      </c>
      <c r="F6" s="365"/>
      <c r="G6" s="231">
        <v>125</v>
      </c>
      <c r="H6" s="41">
        <v>122</v>
      </c>
      <c r="I6" s="294"/>
      <c r="J6" s="42">
        <v>133</v>
      </c>
      <c r="K6" s="42">
        <v>128</v>
      </c>
      <c r="L6" s="35">
        <f>128/133</f>
        <v>0.96240601503759393</v>
      </c>
      <c r="M6" s="177" t="s">
        <v>72</v>
      </c>
      <c r="N6" s="38"/>
      <c r="O6" s="296"/>
    </row>
    <row r="7" spans="1:15">
      <c r="A7" s="48" t="s">
        <v>116</v>
      </c>
      <c r="B7" s="40" t="s">
        <v>117</v>
      </c>
      <c r="C7" s="189"/>
      <c r="D7" s="365">
        <v>19</v>
      </c>
      <c r="E7" s="365">
        <v>15</v>
      </c>
      <c r="F7" s="365"/>
      <c r="G7" s="231">
        <v>13</v>
      </c>
      <c r="H7" s="41">
        <v>8</v>
      </c>
      <c r="I7" s="294"/>
      <c r="J7" s="42">
        <v>10</v>
      </c>
      <c r="K7" s="42">
        <v>7</v>
      </c>
      <c r="L7" s="35">
        <f>7/10</f>
        <v>0.7</v>
      </c>
      <c r="M7" s="177">
        <v>5</v>
      </c>
      <c r="N7" s="38">
        <v>2</v>
      </c>
      <c r="O7" s="296">
        <f>2/5</f>
        <v>0.4</v>
      </c>
    </row>
    <row r="8" spans="1:15">
      <c r="A8" s="48" t="s">
        <v>160</v>
      </c>
      <c r="B8" s="40" t="s">
        <v>161</v>
      </c>
      <c r="C8" s="189"/>
      <c r="D8" s="365" t="s">
        <v>72</v>
      </c>
      <c r="E8" s="365"/>
      <c r="F8" s="365"/>
      <c r="G8" s="231">
        <v>87</v>
      </c>
      <c r="H8" s="41">
        <v>76</v>
      </c>
      <c r="I8" s="294"/>
      <c r="J8" s="42">
        <v>82</v>
      </c>
      <c r="K8" s="42">
        <v>68</v>
      </c>
      <c r="L8" s="35">
        <f>68/82</f>
        <v>0.82926829268292679</v>
      </c>
      <c r="M8" s="177">
        <v>85</v>
      </c>
      <c r="N8" s="38">
        <v>73</v>
      </c>
      <c r="O8" s="296">
        <f>73/85</f>
        <v>0.85882352941176465</v>
      </c>
    </row>
    <row r="9" spans="1:15">
      <c r="A9" s="48" t="s">
        <v>118</v>
      </c>
      <c r="B9" s="213" t="s">
        <v>119</v>
      </c>
      <c r="C9" s="40"/>
      <c r="D9" s="365" t="s">
        <v>72</v>
      </c>
      <c r="E9" s="365"/>
      <c r="F9" s="365"/>
      <c r="G9" s="231">
        <v>69</v>
      </c>
      <c r="H9" s="41">
        <v>64</v>
      </c>
      <c r="I9" s="294"/>
      <c r="J9" s="42"/>
      <c r="K9" s="42"/>
      <c r="L9" s="35"/>
      <c r="M9" s="177"/>
      <c r="N9" s="38"/>
      <c r="O9" s="296"/>
    </row>
    <row r="10" spans="1:15">
      <c r="A10" s="48" t="s">
        <v>162</v>
      </c>
      <c r="B10" s="40" t="s">
        <v>163</v>
      </c>
      <c r="C10" s="189"/>
      <c r="D10" s="365">
        <v>86</v>
      </c>
      <c r="E10" s="365">
        <v>72</v>
      </c>
      <c r="F10" s="365"/>
      <c r="G10" s="41" t="s">
        <v>72</v>
      </c>
      <c r="H10" s="41"/>
      <c r="I10" s="294"/>
      <c r="J10" s="42">
        <v>69</v>
      </c>
      <c r="K10" s="42">
        <v>51</v>
      </c>
      <c r="L10" s="35">
        <f>51/69</f>
        <v>0.73913043478260865</v>
      </c>
      <c r="M10" s="177">
        <v>58</v>
      </c>
      <c r="N10" s="38">
        <v>35</v>
      </c>
      <c r="O10" s="296">
        <f>35/58</f>
        <v>0.60344827586206895</v>
      </c>
    </row>
    <row r="11" spans="1:15">
      <c r="A11" s="48" t="s">
        <v>164</v>
      </c>
      <c r="B11" s="40" t="s">
        <v>115</v>
      </c>
      <c r="C11" s="189"/>
      <c r="D11" s="365">
        <v>21</v>
      </c>
      <c r="E11" s="365">
        <v>21</v>
      </c>
      <c r="F11" s="365"/>
      <c r="G11" s="231">
        <v>21</v>
      </c>
      <c r="H11" s="41">
        <v>20</v>
      </c>
      <c r="I11" s="294"/>
      <c r="J11" s="42">
        <v>18</v>
      </c>
      <c r="K11" s="42">
        <v>17</v>
      </c>
      <c r="L11" s="35">
        <f>17/18</f>
        <v>0.94444444444444442</v>
      </c>
      <c r="M11" s="177">
        <v>19</v>
      </c>
      <c r="N11" s="38">
        <v>17</v>
      </c>
      <c r="O11" s="296">
        <f>17/19</f>
        <v>0.89473684210526316</v>
      </c>
    </row>
    <row r="12" spans="1:15">
      <c r="A12" s="216" t="s">
        <v>173</v>
      </c>
      <c r="B12" s="217" t="s">
        <v>175</v>
      </c>
      <c r="C12" s="189"/>
      <c r="D12" s="365">
        <v>30</v>
      </c>
      <c r="E12" s="365">
        <v>28</v>
      </c>
      <c r="F12" s="365"/>
      <c r="G12" s="231">
        <v>34</v>
      </c>
      <c r="H12" s="41">
        <v>31</v>
      </c>
      <c r="I12" s="294"/>
      <c r="J12" s="42"/>
      <c r="K12" s="42"/>
      <c r="L12" s="35"/>
      <c r="M12" s="177"/>
      <c r="N12" s="38"/>
      <c r="O12" s="296"/>
    </row>
    <row r="13" spans="1:15">
      <c r="A13" s="216" t="s">
        <v>174</v>
      </c>
      <c r="B13" s="217" t="s">
        <v>176</v>
      </c>
      <c r="C13" s="189"/>
      <c r="D13" s="365">
        <v>31</v>
      </c>
      <c r="E13" s="365">
        <v>30</v>
      </c>
      <c r="F13" s="365"/>
      <c r="G13" s="231">
        <v>28</v>
      </c>
      <c r="H13" s="41">
        <v>28</v>
      </c>
      <c r="I13" s="294"/>
      <c r="J13" s="42"/>
      <c r="K13" s="42"/>
      <c r="L13" s="35"/>
      <c r="M13" s="177"/>
      <c r="N13" s="38"/>
      <c r="O13" s="296"/>
    </row>
    <row r="14" spans="1:15">
      <c r="A14" s="48" t="s">
        <v>121</v>
      </c>
      <c r="B14" s="50" t="s">
        <v>165</v>
      </c>
      <c r="C14" s="189"/>
      <c r="D14" s="365">
        <v>18</v>
      </c>
      <c r="E14" s="365">
        <v>16</v>
      </c>
      <c r="F14" s="365"/>
      <c r="G14" s="41" t="s">
        <v>183</v>
      </c>
      <c r="H14" s="41"/>
      <c r="I14" s="294"/>
      <c r="J14" s="42">
        <v>11</v>
      </c>
      <c r="K14" s="42">
        <v>9</v>
      </c>
      <c r="L14" s="35">
        <f>9/11</f>
        <v>0.81818181818181823</v>
      </c>
      <c r="M14" s="177" t="s">
        <v>72</v>
      </c>
      <c r="N14" s="38"/>
      <c r="O14" s="296"/>
    </row>
    <row r="15" spans="1:15">
      <c r="A15" s="48" t="s">
        <v>172</v>
      </c>
      <c r="B15" s="214" t="s">
        <v>161</v>
      </c>
      <c r="C15" s="189"/>
      <c r="D15" s="365" t="s">
        <v>72</v>
      </c>
      <c r="E15" s="365"/>
      <c r="F15" s="365"/>
      <c r="G15" s="41">
        <v>2</v>
      </c>
      <c r="H15" s="41">
        <v>1</v>
      </c>
      <c r="I15" s="294"/>
      <c r="J15" s="42"/>
      <c r="K15" s="42"/>
      <c r="L15" s="35"/>
      <c r="M15" s="177"/>
      <c r="N15" s="38"/>
      <c r="O15" s="296"/>
    </row>
    <row r="16" spans="1:15">
      <c r="A16" s="48" t="s">
        <v>120</v>
      </c>
      <c r="B16" s="215" t="s">
        <v>119</v>
      </c>
      <c r="C16" s="189"/>
      <c r="D16" s="365" t="s">
        <v>72</v>
      </c>
      <c r="E16" s="365"/>
      <c r="F16" s="365"/>
      <c r="G16" s="41">
        <v>2</v>
      </c>
      <c r="H16" s="41">
        <v>2</v>
      </c>
      <c r="I16" s="294"/>
      <c r="J16" s="42"/>
      <c r="K16" s="42"/>
      <c r="L16" s="35"/>
      <c r="M16" s="177"/>
      <c r="N16" s="38"/>
      <c r="O16" s="296"/>
    </row>
    <row r="17" spans="1:15">
      <c r="A17" s="48" t="s">
        <v>166</v>
      </c>
      <c r="B17" s="40" t="s">
        <v>163</v>
      </c>
      <c r="C17" s="189"/>
      <c r="D17" s="365">
        <v>2</v>
      </c>
      <c r="E17" s="365">
        <v>2</v>
      </c>
      <c r="F17" s="365"/>
      <c r="G17" s="41" t="s">
        <v>72</v>
      </c>
      <c r="H17" s="41"/>
      <c r="I17" s="294"/>
      <c r="J17" s="42">
        <v>9</v>
      </c>
      <c r="K17" s="42">
        <v>8</v>
      </c>
      <c r="L17" s="35">
        <f>8/9</f>
        <v>0.88888888888888884</v>
      </c>
      <c r="M17" s="176">
        <v>6</v>
      </c>
      <c r="N17" s="44">
        <v>4</v>
      </c>
      <c r="O17" s="296">
        <f>4/6</f>
        <v>0.66666666666666663</v>
      </c>
    </row>
    <row r="18" spans="1:15">
      <c r="A18" s="310" t="s">
        <v>122</v>
      </c>
      <c r="B18" s="40" t="s">
        <v>123</v>
      </c>
      <c r="C18" s="189"/>
      <c r="D18" s="365">
        <v>8</v>
      </c>
      <c r="E18" s="365">
        <v>7</v>
      </c>
      <c r="F18" s="365"/>
      <c r="G18" s="41"/>
      <c r="H18" s="41">
        <v>1</v>
      </c>
      <c r="I18" s="294"/>
      <c r="J18" s="42">
        <v>11</v>
      </c>
      <c r="K18" s="42">
        <v>11</v>
      </c>
      <c r="L18" s="35">
        <v>1</v>
      </c>
      <c r="M18" s="176">
        <v>7</v>
      </c>
      <c r="N18" s="44">
        <v>7</v>
      </c>
      <c r="O18" s="296">
        <v>1</v>
      </c>
    </row>
    <row r="19" spans="1:15">
      <c r="A19" s="218" t="s">
        <v>124</v>
      </c>
      <c r="B19" s="219" t="s">
        <v>125</v>
      </c>
      <c r="C19" s="189"/>
      <c r="D19" s="365" t="s">
        <v>72</v>
      </c>
      <c r="E19" s="365"/>
      <c r="F19" s="365"/>
      <c r="G19" s="231">
        <v>61</v>
      </c>
      <c r="H19" s="41">
        <v>51</v>
      </c>
      <c r="I19" s="294"/>
      <c r="J19" s="42"/>
      <c r="K19" s="42"/>
      <c r="L19" s="35"/>
      <c r="M19" s="176"/>
      <c r="N19" s="44"/>
      <c r="O19" s="296"/>
    </row>
    <row r="20" spans="1:15">
      <c r="A20" s="48" t="s">
        <v>167</v>
      </c>
      <c r="B20" s="40" t="s">
        <v>168</v>
      </c>
      <c r="C20" s="189"/>
      <c r="D20" s="365" t="s">
        <v>72</v>
      </c>
      <c r="E20" s="365"/>
      <c r="F20" s="365"/>
      <c r="G20" s="41" t="s">
        <v>72</v>
      </c>
      <c r="H20" s="41"/>
      <c r="I20" s="294"/>
      <c r="J20" s="42">
        <v>32</v>
      </c>
      <c r="K20" s="42">
        <v>22</v>
      </c>
      <c r="L20" s="35">
        <f>22/32</f>
        <v>0.6875</v>
      </c>
      <c r="M20" s="176">
        <v>37</v>
      </c>
      <c r="N20" s="44">
        <v>35</v>
      </c>
      <c r="O20" s="296">
        <f>37/35</f>
        <v>1.0571428571428572</v>
      </c>
    </row>
    <row r="21" spans="1:15">
      <c r="A21" s="48" t="s">
        <v>169</v>
      </c>
      <c r="B21" s="40" t="s">
        <v>168</v>
      </c>
      <c r="C21" s="191"/>
      <c r="D21" s="365" t="s">
        <v>72</v>
      </c>
      <c r="E21" s="365"/>
      <c r="F21" s="365"/>
      <c r="G21" s="41" t="s">
        <v>72</v>
      </c>
      <c r="H21" s="41"/>
      <c r="I21" s="294"/>
      <c r="J21" s="42">
        <v>1</v>
      </c>
      <c r="K21" s="42">
        <v>1</v>
      </c>
      <c r="L21" s="35">
        <v>1</v>
      </c>
      <c r="M21" s="176">
        <v>7</v>
      </c>
      <c r="N21" s="44">
        <v>4</v>
      </c>
      <c r="O21" s="296">
        <f>4/7</f>
        <v>0.5714285714285714</v>
      </c>
    </row>
    <row r="22" spans="1:15" ht="15.75" thickBot="1">
      <c r="A22" s="311" t="s">
        <v>126</v>
      </c>
      <c r="B22" s="200" t="s">
        <v>127</v>
      </c>
      <c r="C22" s="189"/>
      <c r="D22" s="365">
        <v>4</v>
      </c>
      <c r="E22" s="365">
        <v>4</v>
      </c>
      <c r="F22" s="365"/>
      <c r="G22" s="244"/>
      <c r="H22" s="244">
        <v>3</v>
      </c>
      <c r="I22" s="295"/>
      <c r="J22" s="245">
        <v>3</v>
      </c>
      <c r="K22" s="245">
        <v>2</v>
      </c>
      <c r="L22" s="280">
        <f>2/3</f>
        <v>0.66666666666666663</v>
      </c>
      <c r="M22" s="278">
        <v>3</v>
      </c>
      <c r="N22" s="210">
        <v>3</v>
      </c>
      <c r="O22" s="297">
        <v>1</v>
      </c>
    </row>
    <row r="23" spans="1:15" ht="15.75" thickBot="1">
      <c r="A23" s="69"/>
      <c r="B23" s="192" t="s">
        <v>35</v>
      </c>
      <c r="C23" s="193"/>
      <c r="D23" s="366">
        <f>SUM(D5:D22)</f>
        <v>494</v>
      </c>
      <c r="E23" s="366">
        <f>SUM(E5:E22)</f>
        <v>453</v>
      </c>
      <c r="F23" s="453">
        <v>0.91</v>
      </c>
      <c r="G23" s="113">
        <f>SUM(G5:G22)</f>
        <v>588</v>
      </c>
      <c r="H23" s="113">
        <f>SUM(H5:H22)</f>
        <v>549</v>
      </c>
      <c r="I23" s="454">
        <f>550/589</f>
        <v>0.93378607809847203</v>
      </c>
      <c r="J23" s="114">
        <v>532</v>
      </c>
      <c r="K23" s="114">
        <v>464</v>
      </c>
      <c r="L23" s="10">
        <f>464/532</f>
        <v>0.8721804511278195</v>
      </c>
      <c r="M23" s="209">
        <f>SUM(M5:M22)</f>
        <v>369</v>
      </c>
      <c r="N23" s="209">
        <f>SUM(N5:N22)</f>
        <v>302</v>
      </c>
      <c r="O23" s="14">
        <f>302/369</f>
        <v>0.81842818428184283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
  <sheetViews>
    <sheetView workbookViewId="0">
      <selection activeCell="O12" sqref="O12"/>
    </sheetView>
  </sheetViews>
  <sheetFormatPr defaultRowHeight="15"/>
  <cols>
    <col min="1" max="1" width="11.140625" customWidth="1"/>
  </cols>
  <sheetData>
    <row r="1" spans="1:15">
      <c r="A1" s="1" t="s">
        <v>113</v>
      </c>
      <c r="B1" s="1"/>
      <c r="C1" s="1"/>
      <c r="D1" s="1"/>
      <c r="E1" s="1"/>
      <c r="F1" s="1"/>
      <c r="G1" s="1"/>
      <c r="H1" s="1"/>
      <c r="I1" s="1"/>
      <c r="J1" s="1"/>
      <c r="K1" s="1"/>
      <c r="L1" s="1"/>
      <c r="M1" s="1"/>
      <c r="N1" s="1"/>
      <c r="O1" s="1"/>
    </row>
    <row r="2" spans="1:15" ht="15.75" thickBot="1">
      <c r="A2" s="1"/>
      <c r="B2" s="1"/>
      <c r="C2" s="1"/>
      <c r="D2" s="1"/>
      <c r="E2" s="1"/>
      <c r="F2" s="1"/>
      <c r="G2" s="1"/>
      <c r="H2" s="1"/>
      <c r="I2" s="1"/>
      <c r="J2" s="1"/>
      <c r="K2" s="1"/>
      <c r="L2" s="1"/>
      <c r="M2" s="1"/>
      <c r="N2" s="1"/>
      <c r="O2" s="1"/>
    </row>
    <row r="3" spans="1:15" ht="15.75" thickBot="1">
      <c r="A3" s="179"/>
      <c r="B3" s="179"/>
      <c r="C3" s="181"/>
      <c r="D3" s="372"/>
      <c r="E3" s="369" t="s">
        <v>189</v>
      </c>
      <c r="F3" s="373"/>
      <c r="G3" s="367"/>
      <c r="H3" s="75" t="s">
        <v>52</v>
      </c>
      <c r="I3" s="183"/>
      <c r="J3" s="123"/>
      <c r="K3" s="123" t="s">
        <v>53</v>
      </c>
      <c r="L3" s="123"/>
      <c r="M3" s="81"/>
      <c r="N3" s="81" t="s">
        <v>54</v>
      </c>
      <c r="O3" s="284"/>
    </row>
    <row r="4" spans="1:15" ht="15.75" thickBot="1">
      <c r="A4" s="100" t="s">
        <v>128</v>
      </c>
      <c r="B4" s="194"/>
      <c r="C4" s="195"/>
      <c r="D4" s="5" t="s">
        <v>4</v>
      </c>
      <c r="E4" s="18" t="s">
        <v>5</v>
      </c>
      <c r="F4" s="19" t="s">
        <v>6</v>
      </c>
      <c r="G4" s="5" t="s">
        <v>4</v>
      </c>
      <c r="H4" s="18" t="s">
        <v>5</v>
      </c>
      <c r="I4" s="19" t="s">
        <v>6</v>
      </c>
      <c r="J4" s="136" t="s">
        <v>4</v>
      </c>
      <c r="K4" s="187" t="s">
        <v>5</v>
      </c>
      <c r="L4" s="188" t="s">
        <v>6</v>
      </c>
      <c r="M4" s="13" t="s">
        <v>4</v>
      </c>
      <c r="N4" s="25" t="s">
        <v>5</v>
      </c>
      <c r="O4" s="138" t="s">
        <v>6</v>
      </c>
    </row>
    <row r="5" spans="1:15">
      <c r="A5" s="48" t="s">
        <v>144</v>
      </c>
      <c r="B5" s="40" t="s">
        <v>145</v>
      </c>
      <c r="C5" s="189"/>
      <c r="D5" s="374">
        <v>32</v>
      </c>
      <c r="E5" s="365">
        <v>27</v>
      </c>
      <c r="F5" s="375"/>
      <c r="G5" s="231">
        <v>42</v>
      </c>
      <c r="H5" s="231">
        <v>32</v>
      </c>
      <c r="I5" s="298">
        <v>0.76</v>
      </c>
      <c r="J5" s="145">
        <v>41</v>
      </c>
      <c r="K5" s="145">
        <v>34</v>
      </c>
      <c r="L5" s="146">
        <f>34/41</f>
        <v>0.82926829268292679</v>
      </c>
      <c r="M5" s="44">
        <v>30</v>
      </c>
      <c r="N5" s="44">
        <v>23</v>
      </c>
      <c r="O5" s="68">
        <f>23/30</f>
        <v>0.76666666666666672</v>
      </c>
    </row>
    <row r="6" spans="1:15">
      <c r="A6" s="48" t="s">
        <v>146</v>
      </c>
      <c r="B6" s="40" t="s">
        <v>147</v>
      </c>
      <c r="C6" s="189"/>
      <c r="D6" s="374">
        <v>34</v>
      </c>
      <c r="E6" s="365">
        <v>27</v>
      </c>
      <c r="F6" s="375"/>
      <c r="G6" s="231">
        <v>34</v>
      </c>
      <c r="H6" s="231">
        <v>30</v>
      </c>
      <c r="I6" s="298">
        <v>0.88</v>
      </c>
      <c r="J6" s="145">
        <v>40</v>
      </c>
      <c r="K6" s="145">
        <v>29</v>
      </c>
      <c r="L6" s="146">
        <f>29/40</f>
        <v>0.72499999999999998</v>
      </c>
      <c r="M6" s="44">
        <v>30</v>
      </c>
      <c r="N6" s="44">
        <v>20</v>
      </c>
      <c r="O6" s="68">
        <f>20/30</f>
        <v>0.66666666666666663</v>
      </c>
    </row>
    <row r="7" spans="1:15">
      <c r="A7" s="48" t="s">
        <v>148</v>
      </c>
      <c r="B7" s="40" t="s">
        <v>149</v>
      </c>
      <c r="C7" s="189"/>
      <c r="D7" s="374">
        <v>28</v>
      </c>
      <c r="E7" s="365">
        <v>23</v>
      </c>
      <c r="F7" s="375"/>
      <c r="G7" s="231">
        <v>33</v>
      </c>
      <c r="H7" s="231">
        <v>26</v>
      </c>
      <c r="I7" s="298">
        <v>0.79</v>
      </c>
      <c r="J7" s="145" t="s">
        <v>155</v>
      </c>
      <c r="K7" s="145"/>
      <c r="L7" s="146"/>
      <c r="M7" s="44">
        <v>31</v>
      </c>
      <c r="N7" s="44">
        <v>26</v>
      </c>
      <c r="O7" s="68">
        <f>26/31</f>
        <v>0.83870967741935487</v>
      </c>
    </row>
    <row r="8" spans="1:15">
      <c r="A8" s="48" t="s">
        <v>150</v>
      </c>
      <c r="B8" s="40" t="s">
        <v>151</v>
      </c>
      <c r="C8" s="189"/>
      <c r="D8" s="374">
        <v>33</v>
      </c>
      <c r="E8" s="365">
        <v>28</v>
      </c>
      <c r="F8" s="375"/>
      <c r="G8" s="231">
        <v>36</v>
      </c>
      <c r="H8" s="231">
        <v>29</v>
      </c>
      <c r="I8" s="298">
        <v>0.8</v>
      </c>
      <c r="J8" s="145">
        <v>50</v>
      </c>
      <c r="K8" s="145">
        <v>44</v>
      </c>
      <c r="L8" s="146">
        <f>44/50</f>
        <v>0.88</v>
      </c>
      <c r="M8" s="44">
        <v>35</v>
      </c>
      <c r="N8" s="44">
        <v>27</v>
      </c>
      <c r="O8" s="68">
        <f>27/35</f>
        <v>0.77142857142857146</v>
      </c>
    </row>
    <row r="9" spans="1:15">
      <c r="A9" s="48" t="s">
        <v>129</v>
      </c>
      <c r="B9" s="50" t="s">
        <v>152</v>
      </c>
      <c r="C9" s="189"/>
      <c r="D9" s="374">
        <v>30</v>
      </c>
      <c r="E9" s="365">
        <v>30</v>
      </c>
      <c r="F9" s="375"/>
      <c r="G9" s="231">
        <v>25</v>
      </c>
      <c r="H9" s="231">
        <v>25</v>
      </c>
      <c r="I9" s="298">
        <v>1</v>
      </c>
      <c r="J9" s="145">
        <v>19</v>
      </c>
      <c r="K9" s="145">
        <v>19</v>
      </c>
      <c r="L9" s="146">
        <v>1</v>
      </c>
      <c r="M9" s="38" t="s">
        <v>72</v>
      </c>
      <c r="N9" s="38"/>
      <c r="O9" s="68"/>
    </row>
    <row r="10" spans="1:15" ht="15.75" thickBot="1">
      <c r="A10" s="196" t="s">
        <v>153</v>
      </c>
      <c r="B10" s="200" t="s">
        <v>154</v>
      </c>
      <c r="C10" s="197"/>
      <c r="D10" s="374" t="s">
        <v>72</v>
      </c>
      <c r="E10" s="365"/>
      <c r="F10" s="375"/>
      <c r="G10" s="231">
        <v>22</v>
      </c>
      <c r="H10" s="231">
        <v>14</v>
      </c>
      <c r="I10" s="299">
        <v>0.64</v>
      </c>
      <c r="J10" s="198">
        <v>19</v>
      </c>
      <c r="K10" s="198">
        <v>15</v>
      </c>
      <c r="L10" s="165">
        <f>15/19</f>
        <v>0.78947368421052633</v>
      </c>
      <c r="M10" s="205">
        <v>22</v>
      </c>
      <c r="N10" s="205">
        <v>19</v>
      </c>
      <c r="O10" s="206">
        <f>19/22</f>
        <v>0.86363636363636365</v>
      </c>
    </row>
    <row r="11" spans="1:15" ht="15.75" thickBot="1">
      <c r="A11" s="69"/>
      <c r="B11" s="112" t="s">
        <v>35</v>
      </c>
      <c r="C11" s="193"/>
      <c r="D11" s="376">
        <f>SUM(D5:D10)</f>
        <v>157</v>
      </c>
      <c r="E11" s="366">
        <f>SUM(E5:E10)</f>
        <v>135</v>
      </c>
      <c r="F11" s="455">
        <v>0.86</v>
      </c>
      <c r="G11" s="113">
        <f>SUM(G5:G10)</f>
        <v>192</v>
      </c>
      <c r="H11" s="113">
        <f>SUM(H5:H10)</f>
        <v>156</v>
      </c>
      <c r="I11" s="300">
        <f>156/192</f>
        <v>0.8125</v>
      </c>
      <c r="J11" s="135">
        <f>SUM(J5:J10)</f>
        <v>169</v>
      </c>
      <c r="K11" s="135">
        <f>SUM(K5:K10)</f>
        <v>141</v>
      </c>
      <c r="L11" s="204">
        <f>141/169</f>
        <v>0.83431952662721898</v>
      </c>
      <c r="M11" s="209">
        <f>SUM(M5:M10)</f>
        <v>148</v>
      </c>
      <c r="N11" s="209">
        <f>SUM(N5:N10)</f>
        <v>115</v>
      </c>
      <c r="O11" s="14">
        <f>115/148</f>
        <v>0.77702702702702697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workbookViewId="0">
      <selection activeCell="F10" sqref="F10"/>
    </sheetView>
  </sheetViews>
  <sheetFormatPr defaultRowHeight="15"/>
  <sheetData>
    <row r="1" spans="1:15">
      <c r="A1" s="1" t="s">
        <v>113</v>
      </c>
    </row>
    <row r="2" spans="1:15" ht="15.75" thickBot="1"/>
    <row r="3" spans="1:15" ht="15.75" thickBot="1">
      <c r="D3" s="372"/>
      <c r="E3" s="369" t="s">
        <v>195</v>
      </c>
      <c r="F3" s="373"/>
      <c r="G3" s="182"/>
      <c r="H3" s="75" t="s">
        <v>131</v>
      </c>
      <c r="I3" s="289"/>
      <c r="J3" s="184"/>
      <c r="K3" s="123" t="s">
        <v>132</v>
      </c>
      <c r="L3" s="282"/>
      <c r="M3" s="283"/>
      <c r="N3" s="81" t="s">
        <v>133</v>
      </c>
      <c r="O3" s="285"/>
    </row>
    <row r="4" spans="1:15" ht="15.75" thickBot="1">
      <c r="A4" s="100" t="s">
        <v>130</v>
      </c>
      <c r="B4" s="288"/>
      <c r="C4" s="288"/>
      <c r="D4" s="377" t="s">
        <v>4</v>
      </c>
      <c r="E4" s="378" t="s">
        <v>5</v>
      </c>
      <c r="F4" s="379" t="s">
        <v>6</v>
      </c>
      <c r="G4" s="17" t="s">
        <v>4</v>
      </c>
      <c r="H4" s="18" t="s">
        <v>5</v>
      </c>
      <c r="I4" s="61" t="s">
        <v>6</v>
      </c>
      <c r="J4" s="167" t="s">
        <v>4</v>
      </c>
      <c r="K4" s="187" t="s">
        <v>5</v>
      </c>
      <c r="L4" s="199" t="s">
        <v>6</v>
      </c>
      <c r="M4" s="24" t="s">
        <v>4</v>
      </c>
      <c r="N4" s="25" t="s">
        <v>5</v>
      </c>
      <c r="O4" s="138" t="s">
        <v>6</v>
      </c>
    </row>
    <row r="5" spans="1:15">
      <c r="A5" s="48" t="s">
        <v>134</v>
      </c>
      <c r="B5" s="40" t="s">
        <v>135</v>
      </c>
      <c r="C5" s="147"/>
      <c r="D5" s="374">
        <v>22</v>
      </c>
      <c r="E5" s="365">
        <v>17</v>
      </c>
      <c r="F5" s="375"/>
      <c r="G5" s="286">
        <v>21</v>
      </c>
      <c r="H5" s="242">
        <v>19</v>
      </c>
      <c r="I5" s="302">
        <v>0.9</v>
      </c>
      <c r="J5" s="145">
        <v>23</v>
      </c>
      <c r="K5" s="145">
        <v>21</v>
      </c>
      <c r="L5" s="146">
        <f>21/23</f>
        <v>0.91304347826086951</v>
      </c>
      <c r="M5" s="44">
        <v>16</v>
      </c>
      <c r="N5" s="44">
        <v>12</v>
      </c>
      <c r="O5" s="68">
        <f>12/16</f>
        <v>0.75</v>
      </c>
    </row>
    <row r="6" spans="1:15">
      <c r="A6" s="48" t="s">
        <v>136</v>
      </c>
      <c r="B6" s="40" t="s">
        <v>137</v>
      </c>
      <c r="C6" s="40"/>
      <c r="D6" s="374">
        <v>9</v>
      </c>
      <c r="E6" s="365">
        <v>8</v>
      </c>
      <c r="F6" s="375"/>
      <c r="G6" s="190">
        <v>8</v>
      </c>
      <c r="H6" s="41">
        <v>8</v>
      </c>
      <c r="I6" s="298">
        <v>1</v>
      </c>
      <c r="J6" s="145">
        <v>4</v>
      </c>
      <c r="K6" s="145">
        <v>4</v>
      </c>
      <c r="L6" s="146">
        <v>1</v>
      </c>
      <c r="M6" s="44">
        <v>15</v>
      </c>
      <c r="N6" s="44">
        <v>15</v>
      </c>
      <c r="O6" s="68">
        <v>1</v>
      </c>
    </row>
    <row r="7" spans="1:15">
      <c r="A7" s="48" t="s">
        <v>138</v>
      </c>
      <c r="B7" s="40" t="s">
        <v>139</v>
      </c>
      <c r="C7" s="40"/>
      <c r="D7" s="374">
        <v>24</v>
      </c>
      <c r="E7" s="365">
        <v>18</v>
      </c>
      <c r="F7" s="375"/>
      <c r="G7" s="190">
        <v>24</v>
      </c>
      <c r="H7" s="41">
        <v>19</v>
      </c>
      <c r="I7" s="298">
        <v>0.79</v>
      </c>
      <c r="J7" s="145">
        <v>17</v>
      </c>
      <c r="K7" s="145">
        <v>15</v>
      </c>
      <c r="L7" s="146">
        <f>15/17</f>
        <v>0.88235294117647056</v>
      </c>
      <c r="M7" s="44">
        <v>24</v>
      </c>
      <c r="N7" s="44">
        <v>22</v>
      </c>
      <c r="O7" s="68">
        <f>22/24</f>
        <v>0.91666666666666663</v>
      </c>
    </row>
    <row r="8" spans="1:15">
      <c r="A8" s="40" t="s">
        <v>140</v>
      </c>
      <c r="B8" s="40" t="s">
        <v>141</v>
      </c>
      <c r="C8" s="40"/>
      <c r="D8" s="374">
        <v>4</v>
      </c>
      <c r="E8" s="365">
        <v>4</v>
      </c>
      <c r="F8" s="375"/>
      <c r="G8" s="190">
        <v>2</v>
      </c>
      <c r="H8" s="41">
        <v>2</v>
      </c>
      <c r="I8" s="298">
        <v>1</v>
      </c>
      <c r="J8" s="145">
        <v>18</v>
      </c>
      <c r="K8" s="145">
        <v>18</v>
      </c>
      <c r="L8" s="146">
        <v>1</v>
      </c>
      <c r="M8" s="44">
        <v>15</v>
      </c>
      <c r="N8" s="44">
        <v>15</v>
      </c>
      <c r="O8" s="68">
        <v>1</v>
      </c>
    </row>
    <row r="9" spans="1:15" ht="15.75" thickBot="1">
      <c r="A9" s="196" t="s">
        <v>142</v>
      </c>
      <c r="B9" s="200" t="s">
        <v>143</v>
      </c>
      <c r="C9" s="200"/>
      <c r="D9" s="380">
        <v>34</v>
      </c>
      <c r="E9" s="381">
        <v>16</v>
      </c>
      <c r="F9" s="382"/>
      <c r="G9" s="287">
        <v>41</v>
      </c>
      <c r="H9" s="244">
        <v>21</v>
      </c>
      <c r="I9" s="299">
        <v>0.51</v>
      </c>
      <c r="J9" s="198">
        <v>48</v>
      </c>
      <c r="K9" s="198">
        <v>22</v>
      </c>
      <c r="L9" s="165">
        <f>22/48</f>
        <v>0.45833333333333331</v>
      </c>
      <c r="M9" s="205">
        <v>51</v>
      </c>
      <c r="N9" s="205">
        <v>16</v>
      </c>
      <c r="O9" s="206">
        <f>16/51</f>
        <v>0.31372549019607843</v>
      </c>
    </row>
    <row r="10" spans="1:15" ht="15.75" thickBot="1">
      <c r="A10" s="201"/>
      <c r="B10" s="202" t="s">
        <v>35</v>
      </c>
      <c r="C10" s="202"/>
      <c r="D10" s="383">
        <f>SUM(D5:D9)</f>
        <v>93</v>
      </c>
      <c r="E10" s="384">
        <f>SUM(E5:E9)</f>
        <v>63</v>
      </c>
      <c r="F10" s="456">
        <v>0.67</v>
      </c>
      <c r="G10" s="203">
        <f>SUM(G5:G9)</f>
        <v>96</v>
      </c>
      <c r="H10" s="85">
        <f>SUM(H5:H9)</f>
        <v>69</v>
      </c>
      <c r="I10" s="301">
        <v>0.72</v>
      </c>
      <c r="J10" s="135">
        <v>110</v>
      </c>
      <c r="K10" s="135">
        <v>80</v>
      </c>
      <c r="L10" s="204">
        <f>80/110</f>
        <v>0.72727272727272729</v>
      </c>
      <c r="M10" s="207">
        <v>121</v>
      </c>
      <c r="N10" s="207">
        <v>80</v>
      </c>
      <c r="O10" s="208">
        <f>80/121</f>
        <v>0.66115702479338845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MiR</vt:lpstr>
      <vt:lpstr>IKRS</vt:lpstr>
      <vt:lpstr>HUMR</vt:lpstr>
      <vt:lpstr>SERI</vt:lpstr>
    </vt:vector>
  </TitlesOfParts>
  <Company>Universitetet i Oslo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Margit Tvenge</dc:creator>
  <cp:lastModifiedBy>Anne Margit Tvenge</cp:lastModifiedBy>
  <dcterms:created xsi:type="dcterms:W3CDTF">2022-01-20T08:49:17Z</dcterms:created>
  <dcterms:modified xsi:type="dcterms:W3CDTF">2023-02-07T12:08:05Z</dcterms:modified>
</cp:coreProperties>
</file>